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ente\Downloads\"/>
    </mc:Choice>
  </mc:AlternateContent>
  <xr:revisionPtr revIDLastSave="0" documentId="8_{1065B087-70F6-4DCE-B011-2E71B137C5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se Case Model" sheetId="1" r:id="rId1"/>
    <sheet name="DCF" sheetId="2" r:id="rId2"/>
    <sheet name="Simple Model" sheetId="3" state="hidden" r:id="rId3"/>
    <sheet name="Charts " sheetId="4" r:id="rId4"/>
    <sheet name="Bull Model" sheetId="5" state="hidden" r:id="rId5"/>
    <sheet name="Bear Model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2" i="1" l="1"/>
  <c r="K102" i="1"/>
  <c r="M52" i="1"/>
  <c r="N52" i="1"/>
  <c r="O52" i="1"/>
  <c r="L52" i="1"/>
  <c r="C33" i="2" l="1"/>
  <c r="C41" i="2" s="1"/>
  <c r="C108" i="6"/>
  <c r="L106" i="6"/>
  <c r="K106" i="6"/>
  <c r="H102" i="6"/>
  <c r="H103" i="6" s="1"/>
  <c r="G102" i="6"/>
  <c r="G103" i="6" s="1"/>
  <c r="F87" i="6"/>
  <c r="I86" i="6"/>
  <c r="I87" i="6" s="1"/>
  <c r="O84" i="6"/>
  <c r="N84" i="6"/>
  <c r="M84" i="6"/>
  <c r="L84" i="6"/>
  <c r="K84" i="6"/>
  <c r="E84" i="6"/>
  <c r="K83" i="6"/>
  <c r="K86" i="6" s="1"/>
  <c r="K87" i="6" s="1"/>
  <c r="J83" i="6"/>
  <c r="J86" i="6" s="1"/>
  <c r="J87" i="6" s="1"/>
  <c r="I83" i="6"/>
  <c r="H83" i="6"/>
  <c r="G83" i="6"/>
  <c r="F83" i="6"/>
  <c r="E83" i="6"/>
  <c r="O82" i="6"/>
  <c r="N82" i="6"/>
  <c r="M82" i="6"/>
  <c r="L82" i="6"/>
  <c r="K82" i="6"/>
  <c r="J82" i="6"/>
  <c r="E82" i="6"/>
  <c r="M81" i="6"/>
  <c r="J81" i="6"/>
  <c r="I81" i="6"/>
  <c r="H81" i="6"/>
  <c r="G81" i="6"/>
  <c r="F81" i="6"/>
  <c r="F86" i="6" s="1"/>
  <c r="E81" i="6"/>
  <c r="E86" i="6" s="1"/>
  <c r="E87" i="6" s="1"/>
  <c r="H80" i="6"/>
  <c r="H79" i="6"/>
  <c r="O78" i="6"/>
  <c r="N78" i="6"/>
  <c r="M78" i="6"/>
  <c r="L78" i="6"/>
  <c r="K78" i="6"/>
  <c r="H78" i="6"/>
  <c r="G78" i="6"/>
  <c r="F78" i="6"/>
  <c r="L77" i="6"/>
  <c r="L79" i="6" s="1"/>
  <c r="J77" i="6"/>
  <c r="J23" i="6" s="1"/>
  <c r="I77" i="6"/>
  <c r="I79" i="6" s="1"/>
  <c r="I80" i="6" s="1"/>
  <c r="H77" i="6"/>
  <c r="G77" i="6"/>
  <c r="F77" i="6"/>
  <c r="E77" i="6"/>
  <c r="E78" i="6" s="1"/>
  <c r="O76" i="6"/>
  <c r="O75" i="6" s="1"/>
  <c r="N76" i="6"/>
  <c r="M76" i="6"/>
  <c r="L76" i="6"/>
  <c r="L75" i="6" s="1"/>
  <c r="K76" i="6"/>
  <c r="I76" i="6"/>
  <c r="H76" i="6"/>
  <c r="G76" i="6"/>
  <c r="F76" i="6"/>
  <c r="K75" i="6"/>
  <c r="J75" i="6"/>
  <c r="G75" i="6"/>
  <c r="G79" i="6" s="1"/>
  <c r="G80" i="6" s="1"/>
  <c r="F75" i="6"/>
  <c r="F79" i="6" s="1"/>
  <c r="F80" i="6" s="1"/>
  <c r="E75" i="6"/>
  <c r="E76" i="6" s="1"/>
  <c r="H74" i="6"/>
  <c r="H93" i="6" s="1"/>
  <c r="N72" i="6"/>
  <c r="O72" i="6" s="1"/>
  <c r="M72" i="6"/>
  <c r="L72" i="6"/>
  <c r="K72" i="6"/>
  <c r="H68" i="6"/>
  <c r="G68" i="6"/>
  <c r="G69" i="6" s="1"/>
  <c r="H62" i="6"/>
  <c r="H64" i="6" s="1"/>
  <c r="G62" i="6"/>
  <c r="G64" i="6" s="1"/>
  <c r="L61" i="6"/>
  <c r="K61" i="6"/>
  <c r="H60" i="6"/>
  <c r="D58" i="6"/>
  <c r="D59" i="6" s="1"/>
  <c r="C58" i="6"/>
  <c r="C102" i="6" s="1"/>
  <c r="C103" i="6" s="1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F53" i="6"/>
  <c r="E53" i="6"/>
  <c r="D53" i="6"/>
  <c r="L52" i="6"/>
  <c r="M52" i="6" s="1"/>
  <c r="N52" i="6" s="1"/>
  <c r="O52" i="6" s="1"/>
  <c r="G52" i="6"/>
  <c r="C52" i="6"/>
  <c r="H51" i="6"/>
  <c r="H58" i="6" s="1"/>
  <c r="H59" i="6" s="1"/>
  <c r="G51" i="6"/>
  <c r="G58" i="6" s="1"/>
  <c r="F51" i="6"/>
  <c r="E51" i="6"/>
  <c r="D51" i="6"/>
  <c r="D52" i="6" s="1"/>
  <c r="C51" i="6"/>
  <c r="I49" i="6"/>
  <c r="H49" i="6"/>
  <c r="G49" i="6"/>
  <c r="F49" i="6"/>
  <c r="E49" i="6"/>
  <c r="D49" i="6"/>
  <c r="K48" i="6"/>
  <c r="K89" i="6" s="1"/>
  <c r="J48" i="6"/>
  <c r="J51" i="6" s="1"/>
  <c r="I48" i="6"/>
  <c r="I51" i="6" s="1"/>
  <c r="H48" i="6"/>
  <c r="G48" i="6"/>
  <c r="M42" i="6"/>
  <c r="N42" i="6" s="1"/>
  <c r="O42" i="6" s="1"/>
  <c r="O37" i="6"/>
  <c r="N37" i="6"/>
  <c r="M37" i="6"/>
  <c r="L37" i="6"/>
  <c r="K37" i="6"/>
  <c r="J37" i="6"/>
  <c r="I37" i="6"/>
  <c r="H37" i="6"/>
  <c r="G37" i="6"/>
  <c r="F37" i="6"/>
  <c r="E37" i="6"/>
  <c r="O35" i="6"/>
  <c r="N35" i="6"/>
  <c r="M35" i="6"/>
  <c r="L35" i="6"/>
  <c r="K35" i="6"/>
  <c r="J35" i="6"/>
  <c r="I35" i="6"/>
  <c r="H35" i="6"/>
  <c r="G35" i="6"/>
  <c r="F35" i="6"/>
  <c r="E35" i="6"/>
  <c r="F29" i="6"/>
  <c r="E29" i="6"/>
  <c r="F28" i="6"/>
  <c r="K27" i="6"/>
  <c r="J27" i="6"/>
  <c r="I27" i="6"/>
  <c r="H27" i="6"/>
  <c r="H30" i="6" s="1"/>
  <c r="G27" i="6"/>
  <c r="G28" i="6" s="1"/>
  <c r="F27" i="6"/>
  <c r="F30" i="6" s="1"/>
  <c r="E27" i="6"/>
  <c r="J26" i="6"/>
  <c r="J84" i="6" s="1"/>
  <c r="I26" i="6"/>
  <c r="I84" i="6" s="1"/>
  <c r="H26" i="6"/>
  <c r="H84" i="6" s="1"/>
  <c r="G26" i="6"/>
  <c r="G84" i="6" s="1"/>
  <c r="F26" i="6"/>
  <c r="F84" i="6" s="1"/>
  <c r="E26" i="6"/>
  <c r="K25" i="6"/>
  <c r="J24" i="6"/>
  <c r="I24" i="6"/>
  <c r="H24" i="6"/>
  <c r="G24" i="6"/>
  <c r="F24" i="6"/>
  <c r="E24" i="6"/>
  <c r="K23" i="6"/>
  <c r="J22" i="6"/>
  <c r="I22" i="6"/>
  <c r="H22" i="6"/>
  <c r="G22" i="6"/>
  <c r="F22" i="6"/>
  <c r="J21" i="6"/>
  <c r="I21" i="6"/>
  <c r="H21" i="6"/>
  <c r="G21" i="6"/>
  <c r="F21" i="6"/>
  <c r="E21" i="6"/>
  <c r="K20" i="6"/>
  <c r="K22" i="6" s="1"/>
  <c r="J19" i="6"/>
  <c r="I19" i="6"/>
  <c r="H19" i="6"/>
  <c r="G19" i="6"/>
  <c r="F19" i="6"/>
  <c r="L18" i="6"/>
  <c r="L25" i="6" s="1"/>
  <c r="L83" i="6" s="1"/>
  <c r="L86" i="6" s="1"/>
  <c r="K18" i="6"/>
  <c r="K77" i="6" s="1"/>
  <c r="K79" i="6" s="1"/>
  <c r="K80" i="6" s="1"/>
  <c r="I16" i="6"/>
  <c r="H16" i="6"/>
  <c r="E15" i="6"/>
  <c r="F14" i="6"/>
  <c r="I13" i="6"/>
  <c r="H13" i="6"/>
  <c r="H15" i="6" s="1"/>
  <c r="G13" i="6"/>
  <c r="E13" i="6"/>
  <c r="J12" i="6"/>
  <c r="I12" i="6"/>
  <c r="I82" i="6" s="1"/>
  <c r="H12" i="6"/>
  <c r="H82" i="6" s="1"/>
  <c r="G12" i="6"/>
  <c r="G82" i="6" s="1"/>
  <c r="F12" i="6"/>
  <c r="F82" i="6" s="1"/>
  <c r="E12" i="6"/>
  <c r="K11" i="6"/>
  <c r="K81" i="6" s="1"/>
  <c r="I10" i="6"/>
  <c r="H10" i="6"/>
  <c r="G10" i="6"/>
  <c r="E10" i="6"/>
  <c r="M9" i="6"/>
  <c r="L9" i="6"/>
  <c r="K9" i="6"/>
  <c r="K13" i="6" s="1"/>
  <c r="F9" i="6"/>
  <c r="F13" i="6" s="1"/>
  <c r="M8" i="6"/>
  <c r="L8" i="6"/>
  <c r="J8" i="6"/>
  <c r="I8" i="6"/>
  <c r="H8" i="6"/>
  <c r="G8" i="6"/>
  <c r="F8" i="6"/>
  <c r="J7" i="6"/>
  <c r="K8" i="6" s="1"/>
  <c r="I7" i="6"/>
  <c r="H7" i="6"/>
  <c r="G7" i="6"/>
  <c r="F7" i="6"/>
  <c r="E7" i="6"/>
  <c r="M6" i="6"/>
  <c r="L6" i="6"/>
  <c r="K6" i="6"/>
  <c r="J5" i="6"/>
  <c r="I5" i="6"/>
  <c r="H5" i="6"/>
  <c r="G5" i="6"/>
  <c r="F5" i="6"/>
  <c r="N4" i="6"/>
  <c r="O4" i="6" s="1"/>
  <c r="M4" i="6"/>
  <c r="M11" i="6" s="1"/>
  <c r="L4" i="6"/>
  <c r="L11" i="6" s="1"/>
  <c r="L81" i="6" s="1"/>
  <c r="K4" i="6"/>
  <c r="I3" i="6"/>
  <c r="J3" i="6" s="1"/>
  <c r="K3" i="6" s="1"/>
  <c r="L3" i="6" s="1"/>
  <c r="M3" i="6" s="1"/>
  <c r="N3" i="6" s="1"/>
  <c r="O3" i="6" s="1"/>
  <c r="G3" i="6"/>
  <c r="H3" i="6" s="1"/>
  <c r="L2" i="6"/>
  <c r="M2" i="6" s="1"/>
  <c r="N2" i="6" s="1"/>
  <c r="O2" i="6" s="1"/>
  <c r="C2" i="6"/>
  <c r="C108" i="5"/>
  <c r="K106" i="5"/>
  <c r="L106" i="5" s="1"/>
  <c r="L61" i="5" s="1"/>
  <c r="I102" i="5"/>
  <c r="I103" i="5" s="1"/>
  <c r="I87" i="5"/>
  <c r="J86" i="5"/>
  <c r="I86" i="5"/>
  <c r="O84" i="5"/>
  <c r="N84" i="5"/>
  <c r="M84" i="5"/>
  <c r="L84" i="5"/>
  <c r="K84" i="5"/>
  <c r="F84" i="5"/>
  <c r="E84" i="5"/>
  <c r="J83" i="5"/>
  <c r="I83" i="5"/>
  <c r="H83" i="5"/>
  <c r="H86" i="5" s="1"/>
  <c r="H87" i="5" s="1"/>
  <c r="G83" i="5"/>
  <c r="F83" i="5"/>
  <c r="F86" i="5" s="1"/>
  <c r="F87" i="5" s="1"/>
  <c r="E83" i="5"/>
  <c r="E86" i="5" s="1"/>
  <c r="E87" i="5" s="1"/>
  <c r="O82" i="5"/>
  <c r="N82" i="5"/>
  <c r="M82" i="5"/>
  <c r="L82" i="5"/>
  <c r="K82" i="5"/>
  <c r="J81" i="5"/>
  <c r="I81" i="5"/>
  <c r="H81" i="5"/>
  <c r="G81" i="5"/>
  <c r="F81" i="5"/>
  <c r="E81" i="5"/>
  <c r="I80" i="5"/>
  <c r="H80" i="5"/>
  <c r="G80" i="5"/>
  <c r="K79" i="5"/>
  <c r="K80" i="5" s="1"/>
  <c r="H79" i="5"/>
  <c r="O78" i="5"/>
  <c r="N78" i="5"/>
  <c r="M78" i="5"/>
  <c r="L78" i="5"/>
  <c r="K78" i="5"/>
  <c r="I78" i="5"/>
  <c r="H78" i="5"/>
  <c r="G78" i="5"/>
  <c r="K77" i="5"/>
  <c r="J77" i="5"/>
  <c r="I77" i="5"/>
  <c r="I79" i="5" s="1"/>
  <c r="H77" i="5"/>
  <c r="G77" i="5"/>
  <c r="F77" i="5"/>
  <c r="F78" i="5" s="1"/>
  <c r="E77" i="5"/>
  <c r="E78" i="5" s="1"/>
  <c r="O76" i="5"/>
  <c r="N76" i="5"/>
  <c r="M76" i="5"/>
  <c r="L76" i="5"/>
  <c r="K76" i="5"/>
  <c r="I76" i="5"/>
  <c r="H76" i="5"/>
  <c r="G76" i="5"/>
  <c r="F76" i="5"/>
  <c r="E76" i="5"/>
  <c r="K75" i="5"/>
  <c r="J75" i="5"/>
  <c r="G75" i="5"/>
  <c r="G79" i="5" s="1"/>
  <c r="F75" i="5"/>
  <c r="F79" i="5" s="1"/>
  <c r="F80" i="5" s="1"/>
  <c r="E75" i="5"/>
  <c r="E79" i="5" s="1"/>
  <c r="E80" i="5" s="1"/>
  <c r="N72" i="5"/>
  <c r="O72" i="5" s="1"/>
  <c r="M72" i="5"/>
  <c r="L72" i="5"/>
  <c r="K72" i="5"/>
  <c r="G68" i="5"/>
  <c r="G69" i="5" s="1"/>
  <c r="I62" i="5"/>
  <c r="G62" i="5"/>
  <c r="G64" i="5" s="1"/>
  <c r="K61" i="5"/>
  <c r="G59" i="5"/>
  <c r="I58" i="5"/>
  <c r="C58" i="5"/>
  <c r="J56" i="5"/>
  <c r="I56" i="5"/>
  <c r="H56" i="5"/>
  <c r="G56" i="5"/>
  <c r="F56" i="5"/>
  <c r="E56" i="5"/>
  <c r="D56" i="5"/>
  <c r="C56" i="5"/>
  <c r="J55" i="5"/>
  <c r="I55" i="5"/>
  <c r="H55" i="5"/>
  <c r="G55" i="5"/>
  <c r="F55" i="5"/>
  <c r="E55" i="5"/>
  <c r="D55" i="5"/>
  <c r="D53" i="5"/>
  <c r="L52" i="5"/>
  <c r="M52" i="5" s="1"/>
  <c r="N52" i="5" s="1"/>
  <c r="O52" i="5" s="1"/>
  <c r="I52" i="5"/>
  <c r="C52" i="5"/>
  <c r="I51" i="5"/>
  <c r="H51" i="5"/>
  <c r="G51" i="5"/>
  <c r="G58" i="5" s="1"/>
  <c r="F51" i="5"/>
  <c r="E51" i="5"/>
  <c r="E52" i="5" s="1"/>
  <c r="D51" i="5"/>
  <c r="C51" i="5"/>
  <c r="I49" i="5"/>
  <c r="H49" i="5"/>
  <c r="G49" i="5"/>
  <c r="F49" i="5"/>
  <c r="E49" i="5"/>
  <c r="D49" i="5"/>
  <c r="K48" i="5"/>
  <c r="J48" i="5"/>
  <c r="I48" i="5"/>
  <c r="H48" i="5"/>
  <c r="G48" i="5"/>
  <c r="M42" i="5"/>
  <c r="N42" i="5" s="1"/>
  <c r="O42" i="5" s="1"/>
  <c r="O37" i="5"/>
  <c r="N37" i="5"/>
  <c r="M37" i="5"/>
  <c r="L37" i="5"/>
  <c r="K37" i="5"/>
  <c r="J37" i="5"/>
  <c r="I37" i="5"/>
  <c r="H37" i="5"/>
  <c r="G37" i="5"/>
  <c r="F37" i="5"/>
  <c r="E37" i="5"/>
  <c r="O35" i="5"/>
  <c r="N35" i="5"/>
  <c r="M35" i="5"/>
  <c r="L35" i="5"/>
  <c r="K35" i="5"/>
  <c r="J35" i="5"/>
  <c r="I35" i="5"/>
  <c r="H35" i="5"/>
  <c r="G35" i="5"/>
  <c r="F35" i="5"/>
  <c r="E35" i="5"/>
  <c r="H30" i="5"/>
  <c r="F29" i="5"/>
  <c r="E29" i="5"/>
  <c r="I28" i="5"/>
  <c r="F28" i="5"/>
  <c r="I27" i="5"/>
  <c r="H27" i="5"/>
  <c r="G27" i="5"/>
  <c r="F27" i="5"/>
  <c r="F30" i="5" s="1"/>
  <c r="E27" i="5"/>
  <c r="J26" i="5"/>
  <c r="J84" i="5" s="1"/>
  <c r="I26" i="5"/>
  <c r="I84" i="5" s="1"/>
  <c r="H26" i="5"/>
  <c r="H84" i="5" s="1"/>
  <c r="G26" i="5"/>
  <c r="G84" i="5" s="1"/>
  <c r="F26" i="5"/>
  <c r="E26" i="5"/>
  <c r="I24" i="5"/>
  <c r="H24" i="5"/>
  <c r="G24" i="5"/>
  <c r="F24" i="5"/>
  <c r="E24" i="5"/>
  <c r="K23" i="5"/>
  <c r="J22" i="5"/>
  <c r="I22" i="5"/>
  <c r="H22" i="5"/>
  <c r="G22" i="5"/>
  <c r="F22" i="5"/>
  <c r="J21" i="5"/>
  <c r="I21" i="5"/>
  <c r="H21" i="5"/>
  <c r="G21" i="5"/>
  <c r="F21" i="5"/>
  <c r="E21" i="5"/>
  <c r="J19" i="5"/>
  <c r="I19" i="5"/>
  <c r="H19" i="5"/>
  <c r="G19" i="5"/>
  <c r="F19" i="5"/>
  <c r="K18" i="5"/>
  <c r="K20" i="5" s="1"/>
  <c r="K15" i="5"/>
  <c r="G15" i="5"/>
  <c r="E15" i="5"/>
  <c r="I14" i="5"/>
  <c r="H14" i="5"/>
  <c r="I13" i="5"/>
  <c r="I15" i="5" s="1"/>
  <c r="H13" i="5"/>
  <c r="I16" i="5" s="1"/>
  <c r="G13" i="5"/>
  <c r="E13" i="5"/>
  <c r="J12" i="5"/>
  <c r="J82" i="5" s="1"/>
  <c r="I12" i="5"/>
  <c r="I82" i="5" s="1"/>
  <c r="H12" i="5"/>
  <c r="H82" i="5" s="1"/>
  <c r="G12" i="5"/>
  <c r="G82" i="5" s="1"/>
  <c r="F12" i="5"/>
  <c r="F82" i="5" s="1"/>
  <c r="E12" i="5"/>
  <c r="E82" i="5" s="1"/>
  <c r="K11" i="5"/>
  <c r="K81" i="5" s="1"/>
  <c r="I10" i="5"/>
  <c r="H10" i="5"/>
  <c r="G10" i="5"/>
  <c r="E10" i="5"/>
  <c r="K9" i="5"/>
  <c r="K13" i="5" s="1"/>
  <c r="F9" i="5"/>
  <c r="F13" i="5" s="1"/>
  <c r="K8" i="5"/>
  <c r="J8" i="5"/>
  <c r="I8" i="5"/>
  <c r="H8" i="5"/>
  <c r="G8" i="5"/>
  <c r="F8" i="5"/>
  <c r="J7" i="5"/>
  <c r="I7" i="5"/>
  <c r="H7" i="5"/>
  <c r="G7" i="5"/>
  <c r="F7" i="5"/>
  <c r="E7" i="5"/>
  <c r="K6" i="5"/>
  <c r="J5" i="5"/>
  <c r="I5" i="5"/>
  <c r="H5" i="5"/>
  <c r="G5" i="5"/>
  <c r="F5" i="5"/>
  <c r="L4" i="5"/>
  <c r="K4" i="5"/>
  <c r="M3" i="5"/>
  <c r="N3" i="5" s="1"/>
  <c r="O3" i="5" s="1"/>
  <c r="L3" i="5"/>
  <c r="G3" i="5"/>
  <c r="H3" i="5" s="1"/>
  <c r="I3" i="5" s="1"/>
  <c r="J3" i="5" s="1"/>
  <c r="K3" i="5" s="1"/>
  <c r="L2" i="5"/>
  <c r="M2" i="5" s="1"/>
  <c r="N2" i="5" s="1"/>
  <c r="O2" i="5" s="1"/>
  <c r="C2" i="5"/>
  <c r="A149" i="4"/>
  <c r="A150" i="4" s="1"/>
  <c r="A151" i="4" s="1"/>
  <c r="A152" i="4" s="1"/>
  <c r="A153" i="4" s="1"/>
  <c r="A145" i="4"/>
  <c r="A146" i="4" s="1"/>
  <c r="A147" i="4" s="1"/>
  <c r="A148" i="4" s="1"/>
  <c r="A144" i="4"/>
  <c r="D133" i="4"/>
  <c r="D132" i="4"/>
  <c r="D131" i="4"/>
  <c r="D130" i="4"/>
  <c r="D129" i="4"/>
  <c r="D128" i="4"/>
  <c r="D127" i="4"/>
  <c r="A127" i="4"/>
  <c r="A128" i="4" s="1"/>
  <c r="A129" i="4" s="1"/>
  <c r="A130" i="4" s="1"/>
  <c r="A131" i="4" s="1"/>
  <c r="A132" i="4" s="1"/>
  <c r="A133" i="4" s="1"/>
  <c r="D126" i="4"/>
  <c r="D125" i="4"/>
  <c r="D124" i="4"/>
  <c r="A124" i="4"/>
  <c r="A125" i="4" s="1"/>
  <c r="A126" i="4" s="1"/>
  <c r="D123" i="4"/>
  <c r="N96" i="4"/>
  <c r="J96" i="4"/>
  <c r="D96" i="4"/>
  <c r="P95" i="4"/>
  <c r="G71" i="4"/>
  <c r="F71" i="4"/>
  <c r="G70" i="4"/>
  <c r="F70" i="4"/>
  <c r="G69" i="4"/>
  <c r="F69" i="4"/>
  <c r="G68" i="4"/>
  <c r="F68" i="4"/>
  <c r="M5" i="4"/>
  <c r="L5" i="4"/>
  <c r="R4" i="4"/>
  <c r="Q4" i="4"/>
  <c r="P4" i="4"/>
  <c r="N4" i="4"/>
  <c r="M4" i="4"/>
  <c r="L4" i="4"/>
  <c r="R3" i="4"/>
  <c r="Q3" i="4"/>
  <c r="Q5" i="4" s="1"/>
  <c r="P3" i="4"/>
  <c r="P5" i="4" s="1"/>
  <c r="N3" i="4"/>
  <c r="M3" i="4"/>
  <c r="L3" i="4"/>
  <c r="M2" i="4"/>
  <c r="N2" i="4" s="1"/>
  <c r="P2" i="4" s="1"/>
  <c r="Q2" i="4" s="1"/>
  <c r="R2" i="4" s="1"/>
  <c r="K2" i="4"/>
  <c r="J2" i="4"/>
  <c r="D2" i="4"/>
  <c r="E2" i="4" s="1"/>
  <c r="F2" i="4" s="1"/>
  <c r="G2" i="4" s="1"/>
  <c r="H2" i="4" s="1"/>
  <c r="I2" i="4" s="1"/>
  <c r="C2" i="4"/>
  <c r="R29" i="3"/>
  <c r="R30" i="3" s="1"/>
  <c r="E28" i="3"/>
  <c r="S23" i="3"/>
  <c r="T23" i="3" s="1"/>
  <c r="U23" i="3" s="1"/>
  <c r="N23" i="3"/>
  <c r="M23" i="3"/>
  <c r="L23" i="3"/>
  <c r="F23" i="3"/>
  <c r="G23" i="3" s="1"/>
  <c r="E23" i="3"/>
  <c r="R13" i="3"/>
  <c r="L13" i="3"/>
  <c r="K13" i="3"/>
  <c r="E13" i="3"/>
  <c r="D13" i="3"/>
  <c r="S11" i="3"/>
  <c r="S29" i="3" s="1"/>
  <c r="S30" i="3" s="1"/>
  <c r="R11" i="3"/>
  <c r="L11" i="3"/>
  <c r="K11" i="3"/>
  <c r="E11" i="3"/>
  <c r="D11" i="3"/>
  <c r="S10" i="3"/>
  <c r="R10" i="3"/>
  <c r="S7" i="3"/>
  <c r="R7" i="3"/>
  <c r="K7" i="3"/>
  <c r="K29" i="3" s="1"/>
  <c r="K30" i="3" s="1"/>
  <c r="E7" i="3"/>
  <c r="D7" i="3"/>
  <c r="S4" i="3"/>
  <c r="L4" i="3"/>
  <c r="L7" i="3" s="1"/>
  <c r="F4" i="3"/>
  <c r="F7" i="3" s="1"/>
  <c r="E4" i="3"/>
  <c r="T3" i="3"/>
  <c r="U3" i="3" s="1"/>
  <c r="S3" i="3"/>
  <c r="L3" i="3"/>
  <c r="M3" i="3" s="1"/>
  <c r="N3" i="3" s="1"/>
  <c r="E3" i="3"/>
  <c r="F3" i="3" s="1"/>
  <c r="G3" i="3" s="1"/>
  <c r="Q2" i="3"/>
  <c r="Q19" i="3" s="1"/>
  <c r="J2" i="3"/>
  <c r="J19" i="3" s="1"/>
  <c r="C2" i="3"/>
  <c r="C19" i="3" s="1"/>
  <c r="H23" i="2"/>
  <c r="G23" i="2"/>
  <c r="F23" i="2"/>
  <c r="E23" i="2"/>
  <c r="D23" i="2"/>
  <c r="C11" i="2"/>
  <c r="D4" i="2"/>
  <c r="E4" i="2" s="1"/>
  <c r="F4" i="2" s="1"/>
  <c r="G4" i="2" s="1"/>
  <c r="H4" i="2" s="1"/>
  <c r="K130" i="1"/>
  <c r="L129" i="1"/>
  <c r="K129" i="1"/>
  <c r="K131" i="1" s="1"/>
  <c r="O126" i="1"/>
  <c r="N126" i="1"/>
  <c r="M126" i="1"/>
  <c r="L126" i="1"/>
  <c r="K126" i="1"/>
  <c r="K125" i="1"/>
  <c r="L124" i="1"/>
  <c r="L130" i="1" s="1"/>
  <c r="L123" i="1"/>
  <c r="C108" i="1"/>
  <c r="L106" i="1"/>
  <c r="L61" i="1" s="1"/>
  <c r="K106" i="1"/>
  <c r="D102" i="1"/>
  <c r="D103" i="1" s="1"/>
  <c r="J86" i="1"/>
  <c r="J87" i="1" s="1"/>
  <c r="I86" i="1"/>
  <c r="I87" i="1" s="1"/>
  <c r="F86" i="1"/>
  <c r="F87" i="1" s="1"/>
  <c r="O84" i="1"/>
  <c r="N84" i="1"/>
  <c r="M84" i="1"/>
  <c r="L84" i="1"/>
  <c r="K84" i="1"/>
  <c r="H84" i="1"/>
  <c r="G84" i="1"/>
  <c r="E84" i="1"/>
  <c r="J83" i="1"/>
  <c r="I83" i="1"/>
  <c r="H83" i="1"/>
  <c r="H86" i="1" s="1"/>
  <c r="H87" i="1" s="1"/>
  <c r="G83" i="1"/>
  <c r="G86" i="1" s="1"/>
  <c r="G87" i="1" s="1"/>
  <c r="F83" i="1"/>
  <c r="E83" i="1"/>
  <c r="O82" i="1"/>
  <c r="N82" i="1"/>
  <c r="M82" i="1"/>
  <c r="L82" i="1"/>
  <c r="K82" i="1"/>
  <c r="J82" i="1"/>
  <c r="J81" i="1"/>
  <c r="I81" i="1"/>
  <c r="H81" i="1"/>
  <c r="G81" i="1"/>
  <c r="F81" i="1"/>
  <c r="E81" i="1"/>
  <c r="E86" i="1" s="1"/>
  <c r="E87" i="1" s="1"/>
  <c r="H79" i="1"/>
  <c r="O78" i="1"/>
  <c r="N78" i="1"/>
  <c r="M78" i="1"/>
  <c r="L78" i="1"/>
  <c r="K78" i="1"/>
  <c r="H78" i="1"/>
  <c r="G78" i="1"/>
  <c r="F78" i="1"/>
  <c r="J77" i="1"/>
  <c r="J78" i="1" s="1"/>
  <c r="I77" i="1"/>
  <c r="H77" i="1"/>
  <c r="G77" i="1"/>
  <c r="F77" i="1"/>
  <c r="E77" i="1"/>
  <c r="E78" i="1" s="1"/>
  <c r="O76" i="1"/>
  <c r="N76" i="1"/>
  <c r="M76" i="1"/>
  <c r="L76" i="1"/>
  <c r="K76" i="1"/>
  <c r="I76" i="1"/>
  <c r="H76" i="1"/>
  <c r="G76" i="1"/>
  <c r="E76" i="1"/>
  <c r="J75" i="1"/>
  <c r="G75" i="1"/>
  <c r="G79" i="1" s="1"/>
  <c r="E75" i="1"/>
  <c r="H74" i="1"/>
  <c r="H93" i="1" s="1"/>
  <c r="E74" i="1"/>
  <c r="E93" i="1" s="1"/>
  <c r="E94" i="1" s="1"/>
  <c r="L72" i="1"/>
  <c r="M72" i="1" s="1"/>
  <c r="N72" i="1" s="1"/>
  <c r="O72" i="1" s="1"/>
  <c r="K72" i="1"/>
  <c r="D68" i="1"/>
  <c r="D69" i="1" s="1"/>
  <c r="E62" i="1"/>
  <c r="E64" i="1" s="1"/>
  <c r="D62" i="1"/>
  <c r="D64" i="1" s="1"/>
  <c r="C62" i="1"/>
  <c r="C64" i="1" s="1"/>
  <c r="K61" i="1"/>
  <c r="F60" i="1"/>
  <c r="H59" i="1"/>
  <c r="D59" i="1"/>
  <c r="H58" i="1"/>
  <c r="F58" i="1"/>
  <c r="E58" i="1"/>
  <c r="J56" i="1"/>
  <c r="F56" i="1"/>
  <c r="E56" i="1"/>
  <c r="D56" i="1"/>
  <c r="C56" i="1"/>
  <c r="J55" i="1"/>
  <c r="I55" i="1"/>
  <c r="H55" i="1"/>
  <c r="G55" i="1"/>
  <c r="F55" i="1"/>
  <c r="E55" i="1"/>
  <c r="D55" i="1"/>
  <c r="D53" i="1"/>
  <c r="F52" i="1"/>
  <c r="E52" i="1"/>
  <c r="D52" i="1"/>
  <c r="C52" i="1"/>
  <c r="H51" i="1"/>
  <c r="H52" i="1" s="1"/>
  <c r="F51" i="1"/>
  <c r="F53" i="1" s="1"/>
  <c r="E51" i="1"/>
  <c r="E53" i="1" s="1"/>
  <c r="D51" i="1"/>
  <c r="D58" i="1" s="1"/>
  <c r="C51" i="1"/>
  <c r="C58" i="1" s="1"/>
  <c r="F49" i="1"/>
  <c r="E49" i="1"/>
  <c r="D49" i="1"/>
  <c r="J48" i="1"/>
  <c r="C5" i="2" s="1"/>
  <c r="I48" i="1"/>
  <c r="I51" i="1" s="1"/>
  <c r="H48" i="1"/>
  <c r="G48" i="1"/>
  <c r="O42" i="1"/>
  <c r="N42" i="1"/>
  <c r="M42" i="1"/>
  <c r="O37" i="1"/>
  <c r="N37" i="1"/>
  <c r="M37" i="1"/>
  <c r="L37" i="1"/>
  <c r="K37" i="1"/>
  <c r="J37" i="1"/>
  <c r="I37" i="1"/>
  <c r="H37" i="1"/>
  <c r="G37" i="1"/>
  <c r="F37" i="1"/>
  <c r="E37" i="1"/>
  <c r="O35" i="1"/>
  <c r="N35" i="1"/>
  <c r="M35" i="1"/>
  <c r="L35" i="1"/>
  <c r="K35" i="1"/>
  <c r="J35" i="1"/>
  <c r="I35" i="1"/>
  <c r="H35" i="1"/>
  <c r="G35" i="1"/>
  <c r="F35" i="1"/>
  <c r="E35" i="1"/>
  <c r="I30" i="1"/>
  <c r="I29" i="1"/>
  <c r="I27" i="1"/>
  <c r="H27" i="1"/>
  <c r="H28" i="1" s="1"/>
  <c r="G27" i="1"/>
  <c r="G28" i="1" s="1"/>
  <c r="F27" i="1"/>
  <c r="F28" i="1" s="1"/>
  <c r="E27" i="1"/>
  <c r="E29" i="1" s="1"/>
  <c r="J26" i="1"/>
  <c r="J84" i="1" s="1"/>
  <c r="I26" i="1"/>
  <c r="I84" i="1" s="1"/>
  <c r="H26" i="1"/>
  <c r="G26" i="1"/>
  <c r="F26" i="1"/>
  <c r="F84" i="1" s="1"/>
  <c r="E26" i="1"/>
  <c r="I24" i="1"/>
  <c r="H24" i="1"/>
  <c r="G24" i="1"/>
  <c r="F24" i="1"/>
  <c r="E24" i="1"/>
  <c r="J23" i="1"/>
  <c r="J22" i="1"/>
  <c r="I22" i="1"/>
  <c r="H22" i="1"/>
  <c r="G22" i="1"/>
  <c r="F22" i="1"/>
  <c r="J21" i="1"/>
  <c r="I21" i="1"/>
  <c r="H21" i="1"/>
  <c r="G21" i="1"/>
  <c r="F21" i="1"/>
  <c r="E21" i="1"/>
  <c r="J19" i="1"/>
  <c r="I19" i="1"/>
  <c r="H19" i="1"/>
  <c r="G19" i="1"/>
  <c r="F19" i="1"/>
  <c r="K18" i="1"/>
  <c r="I15" i="1"/>
  <c r="H15" i="1"/>
  <c r="G15" i="1"/>
  <c r="I13" i="1"/>
  <c r="H13" i="1"/>
  <c r="H16" i="1" s="1"/>
  <c r="G13" i="1"/>
  <c r="G16" i="1" s="1"/>
  <c r="F13" i="1"/>
  <c r="F15" i="1" s="1"/>
  <c r="E13" i="1"/>
  <c r="E15" i="1" s="1"/>
  <c r="J12" i="1"/>
  <c r="I12" i="1"/>
  <c r="I82" i="1" s="1"/>
  <c r="H12" i="1"/>
  <c r="H82" i="1" s="1"/>
  <c r="G12" i="1"/>
  <c r="G82" i="1" s="1"/>
  <c r="F12" i="1"/>
  <c r="F82" i="1" s="1"/>
  <c r="E12" i="1"/>
  <c r="E82" i="1" s="1"/>
  <c r="I10" i="1"/>
  <c r="H10" i="1"/>
  <c r="G10" i="1"/>
  <c r="F10" i="1"/>
  <c r="E10" i="1"/>
  <c r="F9" i="1"/>
  <c r="F75" i="1" s="1"/>
  <c r="J8" i="1"/>
  <c r="I8" i="1"/>
  <c r="H8" i="1"/>
  <c r="G8" i="1"/>
  <c r="F8" i="1"/>
  <c r="J7" i="1"/>
  <c r="I7" i="1"/>
  <c r="H7" i="1"/>
  <c r="G7" i="1"/>
  <c r="F7" i="1"/>
  <c r="E7" i="1"/>
  <c r="K6" i="1"/>
  <c r="J5" i="1"/>
  <c r="I5" i="1"/>
  <c r="H5" i="1"/>
  <c r="G5" i="1"/>
  <c r="F5" i="1"/>
  <c r="K4" i="1"/>
  <c r="G3" i="1"/>
  <c r="H3" i="1" s="1"/>
  <c r="I3" i="1" s="1"/>
  <c r="J3" i="1" s="1"/>
  <c r="K3" i="1" s="1"/>
  <c r="L3" i="1" s="1"/>
  <c r="M3" i="1" s="1"/>
  <c r="N3" i="1" s="1"/>
  <c r="O3" i="1" s="1"/>
  <c r="N2" i="1"/>
  <c r="O2" i="1" s="1"/>
  <c r="L2" i="1"/>
  <c r="M2" i="1" s="1"/>
  <c r="C2" i="1"/>
  <c r="F10" i="3" l="1"/>
  <c r="F15" i="3" s="1"/>
  <c r="F16" i="3" s="1"/>
  <c r="F28" i="3"/>
  <c r="F76" i="1"/>
  <c r="F79" i="1"/>
  <c r="F80" i="1" s="1"/>
  <c r="F16" i="1"/>
  <c r="F16" i="5"/>
  <c r="F15" i="5"/>
  <c r="F14" i="5"/>
  <c r="H58" i="5"/>
  <c r="H52" i="5"/>
  <c r="H53" i="5"/>
  <c r="K11" i="1"/>
  <c r="K81" i="1" s="1"/>
  <c r="L4" i="1"/>
  <c r="K9" i="1"/>
  <c r="K13" i="1" s="1"/>
  <c r="F14" i="1"/>
  <c r="J27" i="1"/>
  <c r="J24" i="1"/>
  <c r="K48" i="1"/>
  <c r="F102" i="1"/>
  <c r="F103" i="1" s="1"/>
  <c r="F74" i="1"/>
  <c r="F93" i="1" s="1"/>
  <c r="F59" i="1"/>
  <c r="F62" i="1"/>
  <c r="G30" i="5"/>
  <c r="G29" i="5"/>
  <c r="G28" i="5"/>
  <c r="K51" i="5"/>
  <c r="K38" i="5"/>
  <c r="K89" i="5"/>
  <c r="K49" i="5"/>
  <c r="K50" i="5"/>
  <c r="I53" i="5"/>
  <c r="I68" i="5"/>
  <c r="I64" i="5"/>
  <c r="O11" i="6"/>
  <c r="O81" i="6" s="1"/>
  <c r="O8" i="6"/>
  <c r="O6" i="6"/>
  <c r="O9" i="6"/>
  <c r="C102" i="1"/>
  <c r="C103" i="1" s="1"/>
  <c r="C59" i="1"/>
  <c r="J79" i="1"/>
  <c r="J76" i="1"/>
  <c r="J9" i="1"/>
  <c r="I79" i="1"/>
  <c r="I80" i="1" s="1"/>
  <c r="I78" i="1"/>
  <c r="L125" i="1"/>
  <c r="L131" i="1" s="1"/>
  <c r="M123" i="1"/>
  <c r="K22" i="5"/>
  <c r="K58" i="5"/>
  <c r="H29" i="5"/>
  <c r="H28" i="5"/>
  <c r="F13" i="3"/>
  <c r="F11" i="3"/>
  <c r="F29" i="3" s="1"/>
  <c r="F30" i="3" s="1"/>
  <c r="G4" i="3"/>
  <c r="G14" i="1"/>
  <c r="H14" i="1"/>
  <c r="I16" i="1"/>
  <c r="H97" i="1"/>
  <c r="H94" i="1"/>
  <c r="C14" i="2"/>
  <c r="I52" i="1"/>
  <c r="I53" i="1"/>
  <c r="I58" i="1"/>
  <c r="D62" i="6"/>
  <c r="D102" i="6"/>
  <c r="D103" i="6" s="1"/>
  <c r="D60" i="6"/>
  <c r="I14" i="1"/>
  <c r="K25" i="1"/>
  <c r="K83" i="1" s="1"/>
  <c r="K86" i="1" s="1"/>
  <c r="K77" i="1"/>
  <c r="K20" i="1"/>
  <c r="K23" i="1"/>
  <c r="K8" i="1"/>
  <c r="L18" i="1"/>
  <c r="D60" i="1"/>
  <c r="H62" i="1"/>
  <c r="H102" i="1"/>
  <c r="H103" i="1" s="1"/>
  <c r="C68" i="1"/>
  <c r="C69" i="1" s="1"/>
  <c r="K75" i="1"/>
  <c r="K79" i="1" s="1"/>
  <c r="R15" i="3"/>
  <c r="R16" i="3" s="1"/>
  <c r="R5" i="4"/>
  <c r="J78" i="5"/>
  <c r="J23" i="5"/>
  <c r="H94" i="6"/>
  <c r="H95" i="6"/>
  <c r="H97" i="6"/>
  <c r="S28" i="3"/>
  <c r="S15" i="3"/>
  <c r="S16" i="3" s="1"/>
  <c r="L11" i="5"/>
  <c r="L81" i="5" s="1"/>
  <c r="L8" i="5"/>
  <c r="L6" i="5"/>
  <c r="M4" i="5"/>
  <c r="G51" i="1"/>
  <c r="G56" i="1"/>
  <c r="L9" i="5"/>
  <c r="D52" i="5"/>
  <c r="D58" i="5"/>
  <c r="H70" i="6"/>
  <c r="H69" i="6"/>
  <c r="F29" i="1"/>
  <c r="F30" i="1"/>
  <c r="H80" i="1"/>
  <c r="H56" i="1"/>
  <c r="H49" i="1"/>
  <c r="T4" i="3"/>
  <c r="S13" i="3"/>
  <c r="I59" i="5"/>
  <c r="I74" i="5"/>
  <c r="I93" i="5" s="1"/>
  <c r="M13" i="6"/>
  <c r="F16" i="6"/>
  <c r="G14" i="6"/>
  <c r="F15" i="6"/>
  <c r="J28" i="6"/>
  <c r="J29" i="6"/>
  <c r="J30" i="6"/>
  <c r="E52" i="6"/>
  <c r="E58" i="6"/>
  <c r="E79" i="6"/>
  <c r="E80" i="6" s="1"/>
  <c r="E68" i="1"/>
  <c r="E69" i="1" s="1"/>
  <c r="L29" i="3"/>
  <c r="L30" i="3" s="1"/>
  <c r="L10" i="3"/>
  <c r="L15" i="3" s="1"/>
  <c r="L16" i="3" s="1"/>
  <c r="L28" i="3"/>
  <c r="H15" i="5"/>
  <c r="H16" i="5"/>
  <c r="I29" i="5"/>
  <c r="I30" i="5"/>
  <c r="H29" i="6"/>
  <c r="H28" i="6"/>
  <c r="E79" i="1"/>
  <c r="E80" i="1" s="1"/>
  <c r="N11" i="6"/>
  <c r="N81" i="6" s="1"/>
  <c r="N9" i="6"/>
  <c r="L13" i="6"/>
  <c r="N8" i="6"/>
  <c r="I29" i="6"/>
  <c r="I28" i="6"/>
  <c r="G29" i="1"/>
  <c r="G30" i="1"/>
  <c r="F96" i="4"/>
  <c r="L96" i="4" s="1"/>
  <c r="I56" i="1"/>
  <c r="I49" i="1"/>
  <c r="G49" i="1"/>
  <c r="J51" i="1"/>
  <c r="D10" i="3"/>
  <c r="D15" i="3" s="1"/>
  <c r="D16" i="3" s="1"/>
  <c r="D29" i="3"/>
  <c r="D30" i="3" s="1"/>
  <c r="N6" i="6"/>
  <c r="K15" i="6"/>
  <c r="K28" i="6"/>
  <c r="K29" i="6"/>
  <c r="K30" i="6"/>
  <c r="I30" i="6"/>
  <c r="I28" i="1"/>
  <c r="H29" i="1"/>
  <c r="H30" i="1"/>
  <c r="J49" i="1"/>
  <c r="C6" i="2" s="1"/>
  <c r="E102" i="1"/>
  <c r="E103" i="1" s="1"/>
  <c r="E59" i="1"/>
  <c r="E60" i="1"/>
  <c r="G80" i="1"/>
  <c r="E10" i="3"/>
  <c r="E15" i="3" s="1"/>
  <c r="E16" i="3" s="1"/>
  <c r="E29" i="3"/>
  <c r="E30" i="3" s="1"/>
  <c r="J51" i="5"/>
  <c r="J49" i="5"/>
  <c r="I53" i="6"/>
  <c r="I52" i="6"/>
  <c r="I58" i="6"/>
  <c r="C59" i="6"/>
  <c r="C62" i="6"/>
  <c r="J79" i="6"/>
  <c r="J80" i="6" s="1"/>
  <c r="J9" i="6"/>
  <c r="J76" i="6"/>
  <c r="K25" i="5"/>
  <c r="K83" i="5" s="1"/>
  <c r="K86" i="5" s="1"/>
  <c r="K87" i="5" s="1"/>
  <c r="E53" i="5"/>
  <c r="C102" i="5"/>
  <c r="C103" i="5" s="1"/>
  <c r="C59" i="5"/>
  <c r="C62" i="5"/>
  <c r="J87" i="5"/>
  <c r="I15" i="6"/>
  <c r="I14" i="6"/>
  <c r="J53" i="6"/>
  <c r="J58" i="6"/>
  <c r="K58" i="6"/>
  <c r="K10" i="3"/>
  <c r="K15" i="3" s="1"/>
  <c r="K16" i="3" s="1"/>
  <c r="L18" i="5"/>
  <c r="F52" i="5"/>
  <c r="F58" i="5"/>
  <c r="F53" i="5"/>
  <c r="J9" i="5"/>
  <c r="J76" i="5"/>
  <c r="M18" i="6"/>
  <c r="K51" i="6"/>
  <c r="K38" i="6"/>
  <c r="K49" i="6"/>
  <c r="K50" i="6"/>
  <c r="J52" i="6"/>
  <c r="M124" i="1"/>
  <c r="M4" i="3"/>
  <c r="N5" i="4"/>
  <c r="G16" i="5"/>
  <c r="G14" i="5"/>
  <c r="G74" i="5"/>
  <c r="G93" i="5" s="1"/>
  <c r="G60" i="5"/>
  <c r="G102" i="5"/>
  <c r="G103" i="5" s="1"/>
  <c r="G52" i="5"/>
  <c r="G53" i="5"/>
  <c r="E58" i="5"/>
  <c r="L75" i="5"/>
  <c r="J79" i="5"/>
  <c r="J80" i="5" s="1"/>
  <c r="G86" i="5"/>
  <c r="G87" i="5" s="1"/>
  <c r="L20" i="6"/>
  <c r="L23" i="6"/>
  <c r="J49" i="6"/>
  <c r="F52" i="6"/>
  <c r="F58" i="6"/>
  <c r="G53" i="6"/>
  <c r="I78" i="6"/>
  <c r="G86" i="6"/>
  <c r="G87" i="6" s="1"/>
  <c r="F10" i="5"/>
  <c r="G16" i="6"/>
  <c r="G15" i="6"/>
  <c r="H14" i="6"/>
  <c r="G74" i="6"/>
  <c r="G93" i="6" s="1"/>
  <c r="G60" i="6"/>
  <c r="H52" i="6"/>
  <c r="H53" i="6"/>
  <c r="G59" i="6"/>
  <c r="M75" i="6"/>
  <c r="J78" i="6"/>
  <c r="H86" i="6"/>
  <c r="H87" i="6" s="1"/>
  <c r="G30" i="6"/>
  <c r="G29" i="6"/>
  <c r="N75" i="6"/>
  <c r="F10" i="6"/>
  <c r="K15" i="1" l="1"/>
  <c r="F74" i="5"/>
  <c r="F93" i="5" s="1"/>
  <c r="F60" i="5"/>
  <c r="F102" i="5"/>
  <c r="F103" i="5" s="1"/>
  <c r="F59" i="5"/>
  <c r="F62" i="5"/>
  <c r="G53" i="1"/>
  <c r="G52" i="1"/>
  <c r="H53" i="1"/>
  <c r="G58" i="1"/>
  <c r="J53" i="5"/>
  <c r="J58" i="5"/>
  <c r="J52" i="5"/>
  <c r="J52" i="1"/>
  <c r="J58" i="1"/>
  <c r="J53" i="1"/>
  <c r="I97" i="5"/>
  <c r="I94" i="5"/>
  <c r="G94" i="6"/>
  <c r="G95" i="6"/>
  <c r="F102" i="6"/>
  <c r="F103" i="6" s="1"/>
  <c r="F74" i="6"/>
  <c r="F93" i="6" s="1"/>
  <c r="F60" i="6"/>
  <c r="F62" i="6"/>
  <c r="F59" i="6"/>
  <c r="K53" i="6"/>
  <c r="K54" i="6"/>
  <c r="C68" i="5"/>
  <c r="C69" i="5" s="1"/>
  <c r="C64" i="5"/>
  <c r="M11" i="5"/>
  <c r="M81" i="5" s="1"/>
  <c r="M8" i="5"/>
  <c r="M6" i="5"/>
  <c r="N4" i="5"/>
  <c r="M9" i="5"/>
  <c r="J13" i="1"/>
  <c r="K14" i="1" s="1"/>
  <c r="J10" i="1"/>
  <c r="E102" i="5"/>
  <c r="E103" i="5" s="1"/>
  <c r="E62" i="5"/>
  <c r="E74" i="5"/>
  <c r="E93" i="5" s="1"/>
  <c r="E94" i="5" s="1"/>
  <c r="E60" i="5"/>
  <c r="E59" i="5"/>
  <c r="M25" i="6"/>
  <c r="M83" i="6" s="1"/>
  <c r="M86" i="6" s="1"/>
  <c r="N18" i="6"/>
  <c r="M20" i="6"/>
  <c r="M23" i="6"/>
  <c r="M77" i="6"/>
  <c r="M79" i="6" s="1"/>
  <c r="C68" i="6"/>
  <c r="C69" i="6" s="1"/>
  <c r="C64" i="6"/>
  <c r="L13" i="5"/>
  <c r="J27" i="5"/>
  <c r="J24" i="5"/>
  <c r="D9" i="2"/>
  <c r="D13" i="2" s="1"/>
  <c r="K80" i="1"/>
  <c r="K22" i="1"/>
  <c r="K27" i="1"/>
  <c r="I62" i="1"/>
  <c r="I60" i="1"/>
  <c r="I102" i="1"/>
  <c r="I74" i="1"/>
  <c r="I93" i="1" s="1"/>
  <c r="I59" i="1"/>
  <c r="K27" i="5"/>
  <c r="K53" i="5"/>
  <c r="K54" i="5"/>
  <c r="F94" i="1"/>
  <c r="F95" i="1"/>
  <c r="L27" i="6"/>
  <c r="L22" i="6"/>
  <c r="J30" i="1"/>
  <c r="J29" i="1"/>
  <c r="J28" i="1"/>
  <c r="G95" i="5"/>
  <c r="G94" i="5"/>
  <c r="M16" i="6"/>
  <c r="M15" i="6"/>
  <c r="M14" i="6"/>
  <c r="O13" i="6"/>
  <c r="H102" i="5"/>
  <c r="H103" i="5" s="1"/>
  <c r="H60" i="5"/>
  <c r="H74" i="5"/>
  <c r="H93" i="5" s="1"/>
  <c r="I95" i="5" s="1"/>
  <c r="H62" i="5"/>
  <c r="I60" i="5"/>
  <c r="H59" i="5"/>
  <c r="F64" i="1"/>
  <c r="F68" i="1"/>
  <c r="F69" i="1" s="1"/>
  <c r="D68" i="6"/>
  <c r="D69" i="6" s="1"/>
  <c r="D64" i="6"/>
  <c r="L8" i="1"/>
  <c r="L6" i="1"/>
  <c r="L9" i="1"/>
  <c r="L11" i="1"/>
  <c r="L81" i="1" s="1"/>
  <c r="M4" i="1"/>
  <c r="L75" i="1"/>
  <c r="L79" i="1" s="1"/>
  <c r="M11" i="3"/>
  <c r="M7" i="3"/>
  <c r="M13" i="3"/>
  <c r="N4" i="3"/>
  <c r="K59" i="6"/>
  <c r="K62" i="6"/>
  <c r="K74" i="6"/>
  <c r="K93" i="6" s="1"/>
  <c r="K102" i="6"/>
  <c r="K60" i="6"/>
  <c r="U4" i="3"/>
  <c r="T13" i="3"/>
  <c r="T7" i="3"/>
  <c r="T11" i="3"/>
  <c r="D102" i="5"/>
  <c r="D103" i="5" s="1"/>
  <c r="D62" i="5"/>
  <c r="D60" i="5"/>
  <c r="D59" i="5"/>
  <c r="K102" i="5"/>
  <c r="K59" i="5"/>
  <c r="K62" i="5"/>
  <c r="K74" i="5"/>
  <c r="K93" i="5" s="1"/>
  <c r="C9" i="2"/>
  <c r="C13" i="2" s="1"/>
  <c r="J80" i="1"/>
  <c r="M18" i="5"/>
  <c r="L25" i="5"/>
  <c r="L83" i="5" s="1"/>
  <c r="L86" i="5" s="1"/>
  <c r="L77" i="5"/>
  <c r="L79" i="5" s="1"/>
  <c r="L20" i="5"/>
  <c r="L23" i="5"/>
  <c r="J59" i="6"/>
  <c r="J60" i="6"/>
  <c r="J74" i="6"/>
  <c r="J93" i="6" s="1"/>
  <c r="J102" i="6"/>
  <c r="J62" i="6"/>
  <c r="I59" i="6"/>
  <c r="I60" i="6"/>
  <c r="I74" i="6"/>
  <c r="I93" i="6" s="1"/>
  <c r="I62" i="6"/>
  <c r="I102" i="6"/>
  <c r="I103" i="6" s="1"/>
  <c r="N13" i="6"/>
  <c r="L14" i="6"/>
  <c r="L15" i="6"/>
  <c r="L16" i="6"/>
  <c r="K87" i="1"/>
  <c r="D14" i="2"/>
  <c r="I69" i="5"/>
  <c r="I70" i="5"/>
  <c r="K50" i="1"/>
  <c r="K51" i="1"/>
  <c r="K38" i="1"/>
  <c r="K89" i="1"/>
  <c r="K49" i="1"/>
  <c r="D6" i="2" s="1"/>
  <c r="D5" i="2" s="1"/>
  <c r="E62" i="6"/>
  <c r="E102" i="6"/>
  <c r="E103" i="6" s="1"/>
  <c r="E74" i="6"/>
  <c r="E93" i="6" s="1"/>
  <c r="E94" i="6" s="1"/>
  <c r="E60" i="6"/>
  <c r="E59" i="6"/>
  <c r="L77" i="1"/>
  <c r="L20" i="1"/>
  <c r="M18" i="1"/>
  <c r="L23" i="1"/>
  <c r="L25" i="1"/>
  <c r="L83" i="1" s="1"/>
  <c r="L86" i="1" s="1"/>
  <c r="J13" i="6"/>
  <c r="J10" i="6"/>
  <c r="N124" i="1"/>
  <c r="M130" i="1"/>
  <c r="J13" i="5"/>
  <c r="J10" i="5"/>
  <c r="M75" i="5"/>
  <c r="H68" i="1"/>
  <c r="H64" i="1"/>
  <c r="G13" i="3"/>
  <c r="G11" i="3"/>
  <c r="G7" i="3"/>
  <c r="N123" i="1"/>
  <c r="M129" i="1"/>
  <c r="M125" i="1"/>
  <c r="K58" i="1"/>
  <c r="J14" i="6" l="1"/>
  <c r="J15" i="6"/>
  <c r="J16" i="6"/>
  <c r="K14" i="6"/>
  <c r="K16" i="6"/>
  <c r="K103" i="5"/>
  <c r="L41" i="5"/>
  <c r="L40" i="5" s="1"/>
  <c r="U13" i="3"/>
  <c r="U11" i="3"/>
  <c r="U7" i="3"/>
  <c r="I103" i="1"/>
  <c r="G96" i="4"/>
  <c r="P96" i="4" s="1"/>
  <c r="M79" i="5"/>
  <c r="N16" i="6"/>
  <c r="N15" i="6"/>
  <c r="N14" i="6"/>
  <c r="N25" i="6"/>
  <c r="N83" i="6" s="1"/>
  <c r="N86" i="6" s="1"/>
  <c r="N20" i="6"/>
  <c r="N23" i="6"/>
  <c r="O18" i="6"/>
  <c r="N77" i="6"/>
  <c r="N79" i="6" s="1"/>
  <c r="E68" i="6"/>
  <c r="E69" i="6" s="1"/>
  <c r="E64" i="6"/>
  <c r="J59" i="5"/>
  <c r="J62" i="5"/>
  <c r="J102" i="5"/>
  <c r="J74" i="5"/>
  <c r="J93" i="5" s="1"/>
  <c r="J60" i="5"/>
  <c r="O123" i="1"/>
  <c r="N129" i="1"/>
  <c r="N125" i="1"/>
  <c r="E9" i="2"/>
  <c r="E13" i="2" s="1"/>
  <c r="K56" i="5"/>
  <c r="K55" i="5"/>
  <c r="K30" i="1"/>
  <c r="K29" i="1"/>
  <c r="K28" i="1"/>
  <c r="G10" i="3"/>
  <c r="G29" i="3"/>
  <c r="G28" i="3"/>
  <c r="G15" i="3"/>
  <c r="G16" i="3" s="1"/>
  <c r="L27" i="1"/>
  <c r="C37" i="2"/>
  <c r="I95" i="6"/>
  <c r="I97" i="6"/>
  <c r="I94" i="6"/>
  <c r="K60" i="5"/>
  <c r="K97" i="6"/>
  <c r="K95" i="6"/>
  <c r="K94" i="6"/>
  <c r="M8" i="1"/>
  <c r="M6" i="1"/>
  <c r="M9" i="1"/>
  <c r="N4" i="1"/>
  <c r="M11" i="1"/>
  <c r="M81" i="1" s="1"/>
  <c r="M75" i="1"/>
  <c r="N11" i="5"/>
  <c r="N81" i="5" s="1"/>
  <c r="O4" i="5"/>
  <c r="N9" i="5"/>
  <c r="N8" i="5"/>
  <c r="N6" i="5"/>
  <c r="N75" i="5"/>
  <c r="G74" i="1"/>
  <c r="G93" i="1" s="1"/>
  <c r="G59" i="1"/>
  <c r="G62" i="1"/>
  <c r="G102" i="1"/>
  <c r="G103" i="1" s="1"/>
  <c r="G60" i="1"/>
  <c r="H60" i="1"/>
  <c r="F95" i="5"/>
  <c r="F94" i="5"/>
  <c r="K60" i="1"/>
  <c r="K62" i="1"/>
  <c r="K59" i="1"/>
  <c r="K74" i="1"/>
  <c r="K93" i="1" s="1"/>
  <c r="E14" i="2"/>
  <c r="M25" i="5"/>
  <c r="M83" i="5" s="1"/>
  <c r="M86" i="5" s="1"/>
  <c r="M77" i="5"/>
  <c r="M20" i="5"/>
  <c r="N18" i="5"/>
  <c r="M23" i="5"/>
  <c r="H64" i="5"/>
  <c r="H68" i="5"/>
  <c r="K56" i="6"/>
  <c r="K55" i="6"/>
  <c r="L27" i="5"/>
  <c r="L22" i="5"/>
  <c r="K28" i="5"/>
  <c r="K30" i="5"/>
  <c r="K29" i="5"/>
  <c r="M13" i="5"/>
  <c r="F68" i="6"/>
  <c r="F69" i="6" s="1"/>
  <c r="F64" i="6"/>
  <c r="J103" i="6"/>
  <c r="K41" i="6"/>
  <c r="K40" i="6" s="1"/>
  <c r="K44" i="6" s="1"/>
  <c r="J28" i="5"/>
  <c r="J29" i="5"/>
  <c r="J30" i="5"/>
  <c r="J97" i="6"/>
  <c r="J95" i="6"/>
  <c r="J94" i="6"/>
  <c r="M131" i="1"/>
  <c r="H97" i="5"/>
  <c r="H94" i="5"/>
  <c r="H95" i="5"/>
  <c r="I68" i="1"/>
  <c r="I64" i="1"/>
  <c r="N18" i="1"/>
  <c r="M23" i="1"/>
  <c r="M25" i="1"/>
  <c r="M83" i="1" s="1"/>
  <c r="M20" i="1"/>
  <c r="M77" i="1"/>
  <c r="I68" i="6"/>
  <c r="I64" i="6"/>
  <c r="K103" i="6"/>
  <c r="L41" i="6"/>
  <c r="L40" i="6" s="1"/>
  <c r="O124" i="1"/>
  <c r="O130" i="1" s="1"/>
  <c r="N130" i="1"/>
  <c r="K63" i="6"/>
  <c r="K68" i="6" s="1"/>
  <c r="O16" i="6"/>
  <c r="O15" i="6"/>
  <c r="O14" i="6"/>
  <c r="K68" i="5"/>
  <c r="K63" i="5"/>
  <c r="T28" i="3"/>
  <c r="T10" i="3"/>
  <c r="T15" i="3"/>
  <c r="T16" i="3" s="1"/>
  <c r="T29" i="3"/>
  <c r="T30" i="3" s="1"/>
  <c r="E68" i="5"/>
  <c r="E69" i="5" s="1"/>
  <c r="E64" i="5"/>
  <c r="H70" i="1"/>
  <c r="H69" i="1"/>
  <c r="L28" i="6"/>
  <c r="L30" i="6"/>
  <c r="L29" i="6"/>
  <c r="F64" i="5"/>
  <c r="F68" i="5"/>
  <c r="F69" i="5" s="1"/>
  <c r="M29" i="3"/>
  <c r="M30" i="3" s="1"/>
  <c r="M28" i="3"/>
  <c r="M10" i="3"/>
  <c r="M15" i="3" s="1"/>
  <c r="M16" i="3" s="1"/>
  <c r="J16" i="1"/>
  <c r="J15" i="1"/>
  <c r="J14" i="1"/>
  <c r="L14" i="5"/>
  <c r="L16" i="5"/>
  <c r="L15" i="5"/>
  <c r="J15" i="5"/>
  <c r="J16" i="5"/>
  <c r="J14" i="5"/>
  <c r="K14" i="5"/>
  <c r="K16" i="5"/>
  <c r="D68" i="5"/>
  <c r="D69" i="5" s="1"/>
  <c r="D64" i="5"/>
  <c r="K97" i="5"/>
  <c r="K94" i="5"/>
  <c r="K53" i="1"/>
  <c r="K54" i="1"/>
  <c r="J68" i="6"/>
  <c r="J64" i="6"/>
  <c r="N11" i="3"/>
  <c r="N7" i="3"/>
  <c r="N13" i="3"/>
  <c r="L13" i="1"/>
  <c r="I97" i="1"/>
  <c r="I94" i="1"/>
  <c r="I95" i="1"/>
  <c r="M27" i="6"/>
  <c r="M22" i="6"/>
  <c r="F94" i="6"/>
  <c r="F95" i="6"/>
  <c r="J60" i="1"/>
  <c r="J102" i="1"/>
  <c r="J62" i="1"/>
  <c r="J74" i="1"/>
  <c r="J93" i="1" s="1"/>
  <c r="J59" i="1"/>
  <c r="K16" i="1"/>
  <c r="K70" i="6" l="1"/>
  <c r="K69" i="6"/>
  <c r="K69" i="5"/>
  <c r="K70" i="5"/>
  <c r="J97" i="5"/>
  <c r="J95" i="5"/>
  <c r="J94" i="5"/>
  <c r="N9" i="1"/>
  <c r="O4" i="1"/>
  <c r="N11" i="1"/>
  <c r="N81" i="1" s="1"/>
  <c r="N6" i="1"/>
  <c r="N8" i="1"/>
  <c r="N75" i="1"/>
  <c r="N79" i="1" s="1"/>
  <c r="I70" i="6"/>
  <c r="I71" i="6" s="1"/>
  <c r="I69" i="6"/>
  <c r="N23" i="1"/>
  <c r="N25" i="1"/>
  <c r="N83" i="1" s="1"/>
  <c r="N86" i="1" s="1"/>
  <c r="N20" i="1"/>
  <c r="O18" i="1"/>
  <c r="N77" i="1"/>
  <c r="J69" i="6"/>
  <c r="J70" i="6"/>
  <c r="N13" i="5"/>
  <c r="O25" i="6"/>
  <c r="O83" i="6" s="1"/>
  <c r="O86" i="6" s="1"/>
  <c r="O20" i="6"/>
  <c r="O23" i="6"/>
  <c r="O77" i="6"/>
  <c r="O79" i="6" s="1"/>
  <c r="I70" i="1"/>
  <c r="I71" i="1" s="1"/>
  <c r="I69" i="1"/>
  <c r="H69" i="5"/>
  <c r="H70" i="5"/>
  <c r="I71" i="5" s="1"/>
  <c r="L15" i="1"/>
  <c r="L16" i="1"/>
  <c r="L14" i="1"/>
  <c r="N27" i="6"/>
  <c r="N22" i="6"/>
  <c r="K95" i="5"/>
  <c r="M22" i="1"/>
  <c r="M27" i="1"/>
  <c r="N25" i="5"/>
  <c r="N83" i="5" s="1"/>
  <c r="N86" i="5" s="1"/>
  <c r="N77" i="5"/>
  <c r="N79" i="5" s="1"/>
  <c r="N23" i="5"/>
  <c r="N20" i="5"/>
  <c r="O18" i="5"/>
  <c r="K63" i="1"/>
  <c r="D11" i="2" s="1"/>
  <c r="K68" i="1"/>
  <c r="G64" i="1"/>
  <c r="G68" i="1"/>
  <c r="G69" i="1" s="1"/>
  <c r="O11" i="5"/>
  <c r="O81" i="5" s="1"/>
  <c r="O9" i="5"/>
  <c r="O6" i="5"/>
  <c r="O75" i="5"/>
  <c r="O8" i="5"/>
  <c r="N131" i="1"/>
  <c r="J68" i="1"/>
  <c r="J64" i="1"/>
  <c r="L44" i="6"/>
  <c r="L58" i="6" s="1"/>
  <c r="L48" i="6"/>
  <c r="K55" i="1"/>
  <c r="K56" i="1"/>
  <c r="M16" i="5"/>
  <c r="M14" i="5"/>
  <c r="M15" i="5"/>
  <c r="J68" i="5"/>
  <c r="J64" i="5"/>
  <c r="K97" i="1"/>
  <c r="K95" i="1"/>
  <c r="K94" i="1"/>
  <c r="M13" i="1"/>
  <c r="G33" i="3"/>
  <c r="G30" i="3"/>
  <c r="G32" i="3"/>
  <c r="U10" i="3"/>
  <c r="U15" i="3" s="1"/>
  <c r="U16" i="3" s="1"/>
  <c r="U28" i="3"/>
  <c r="U29" i="3"/>
  <c r="N15" i="3"/>
  <c r="N16" i="3" s="1"/>
  <c r="N29" i="3"/>
  <c r="N28" i="3"/>
  <c r="N10" i="3"/>
  <c r="M86" i="1"/>
  <c r="M27" i="5"/>
  <c r="M22" i="5"/>
  <c r="K103" i="1"/>
  <c r="D8" i="2" s="1"/>
  <c r="D7" i="2" s="1"/>
  <c r="L41" i="1"/>
  <c r="L40" i="1" s="1"/>
  <c r="O129" i="1"/>
  <c r="O131" i="1" s="1"/>
  <c r="O125" i="1"/>
  <c r="L44" i="5"/>
  <c r="L58" i="5" s="1"/>
  <c r="L48" i="5"/>
  <c r="J103" i="1"/>
  <c r="C8" i="2" s="1"/>
  <c r="C7" i="2"/>
  <c r="C10" i="2" s="1"/>
  <c r="C12" i="2" s="1"/>
  <c r="C16" i="2" s="1"/>
  <c r="K41" i="1"/>
  <c r="K40" i="1" s="1"/>
  <c r="K44" i="1" s="1"/>
  <c r="J103" i="5"/>
  <c r="K41" i="5"/>
  <c r="K40" i="5" s="1"/>
  <c r="K44" i="5" s="1"/>
  <c r="J97" i="1"/>
  <c r="J94" i="1"/>
  <c r="J95" i="1"/>
  <c r="M30" i="6"/>
  <c r="M29" i="6"/>
  <c r="M28" i="6"/>
  <c r="L28" i="5"/>
  <c r="L29" i="5"/>
  <c r="L30" i="5"/>
  <c r="G94" i="1"/>
  <c r="G95" i="1"/>
  <c r="H95" i="1"/>
  <c r="M79" i="1"/>
  <c r="L29" i="1"/>
  <c r="L28" i="1"/>
  <c r="J69" i="1" l="1"/>
  <c r="J70" i="1"/>
  <c r="J71" i="1" s="1"/>
  <c r="D10" i="2"/>
  <c r="D12" i="2" s="1"/>
  <c r="D16" i="2" s="1"/>
  <c r="C38" i="2"/>
  <c r="M29" i="1"/>
  <c r="M28" i="1"/>
  <c r="M30" i="1"/>
  <c r="O22" i="6"/>
  <c r="O27" i="6"/>
  <c r="O25" i="1"/>
  <c r="O83" i="1" s="1"/>
  <c r="O23" i="1"/>
  <c r="O20" i="1"/>
  <c r="O77" i="1"/>
  <c r="M30" i="5"/>
  <c r="M29" i="5"/>
  <c r="M28" i="5"/>
  <c r="N22" i="1"/>
  <c r="N27" i="1"/>
  <c r="N13" i="1"/>
  <c r="N32" i="3"/>
  <c r="N30" i="3"/>
  <c r="N33" i="3"/>
  <c r="U33" i="3"/>
  <c r="U32" i="3"/>
  <c r="U34" i="3" s="1"/>
  <c r="U18" i="3" s="1"/>
  <c r="U30" i="3"/>
  <c r="F9" i="2"/>
  <c r="F13" i="2" s="1"/>
  <c r="K69" i="1"/>
  <c r="K70" i="1"/>
  <c r="K71" i="1" s="1"/>
  <c r="F14" i="2"/>
  <c r="G14" i="2"/>
  <c r="G34" i="3"/>
  <c r="G18" i="3" s="1"/>
  <c r="N30" i="6"/>
  <c r="N29" i="6"/>
  <c r="N28" i="6"/>
  <c r="L44" i="1"/>
  <c r="L58" i="1" s="1"/>
  <c r="L102" i="1" s="1"/>
  <c r="L48" i="1"/>
  <c r="G9" i="2"/>
  <c r="G13" i="2" s="1"/>
  <c r="M15" i="1"/>
  <c r="M14" i="1"/>
  <c r="M16" i="1"/>
  <c r="L38" i="5"/>
  <c r="L89" i="5"/>
  <c r="L91" i="5" s="1"/>
  <c r="L49" i="5"/>
  <c r="L51" i="5"/>
  <c r="L80" i="5"/>
  <c r="L87" i="5"/>
  <c r="O13" i="5"/>
  <c r="O25" i="5"/>
  <c r="O83" i="5" s="1"/>
  <c r="O86" i="5" s="1"/>
  <c r="O20" i="5"/>
  <c r="O23" i="5"/>
  <c r="O77" i="5"/>
  <c r="O79" i="5" s="1"/>
  <c r="L102" i="5"/>
  <c r="L62" i="5"/>
  <c r="L59" i="5"/>
  <c r="L74" i="5"/>
  <c r="L60" i="5"/>
  <c r="L38" i="6"/>
  <c r="L49" i="6"/>
  <c r="L89" i="6"/>
  <c r="L91" i="6" s="1"/>
  <c r="L50" i="6"/>
  <c r="L51" i="6"/>
  <c r="L87" i="6"/>
  <c r="L80" i="6"/>
  <c r="N27" i="5"/>
  <c r="N22" i="5"/>
  <c r="N16" i="5"/>
  <c r="N15" i="5"/>
  <c r="N14" i="5"/>
  <c r="O75" i="1"/>
  <c r="O9" i="1"/>
  <c r="O6" i="1"/>
  <c r="O11" i="1"/>
  <c r="O81" i="1" s="1"/>
  <c r="O8" i="1"/>
  <c r="J69" i="5"/>
  <c r="J70" i="5"/>
  <c r="J71" i="5" s="1"/>
  <c r="L62" i="6"/>
  <c r="L102" i="6"/>
  <c r="L59" i="6"/>
  <c r="L74" i="6"/>
  <c r="L93" i="6" s="1"/>
  <c r="L60" i="6"/>
  <c r="J71" i="6"/>
  <c r="K71" i="6"/>
  <c r="O86" i="1" l="1"/>
  <c r="Q22" i="3"/>
  <c r="U17" i="3"/>
  <c r="Q20" i="3"/>
  <c r="L38" i="1"/>
  <c r="L51" i="1"/>
  <c r="L50" i="1" s="1"/>
  <c r="L89" i="1"/>
  <c r="L91" i="1" s="1"/>
  <c r="L49" i="1"/>
  <c r="E6" i="2" s="1"/>
  <c r="E5" i="2" s="1"/>
  <c r="L87" i="1"/>
  <c r="L80" i="1"/>
  <c r="L97" i="6"/>
  <c r="L95" i="6"/>
  <c r="L94" i="6"/>
  <c r="L93" i="5"/>
  <c r="D22" i="2"/>
  <c r="D17" i="2"/>
  <c r="C39" i="2"/>
  <c r="L103" i="6"/>
  <c r="M41" i="6"/>
  <c r="M40" i="6" s="1"/>
  <c r="L63" i="6"/>
  <c r="L68" i="6"/>
  <c r="O79" i="1"/>
  <c r="L54" i="6"/>
  <c r="L53" i="6"/>
  <c r="L63" i="5"/>
  <c r="L68" i="5" s="1"/>
  <c r="N34" i="3"/>
  <c r="N18" i="3" s="1"/>
  <c r="O30" i="6"/>
  <c r="O29" i="6"/>
  <c r="O28" i="6"/>
  <c r="L54" i="5"/>
  <c r="L53" i="5"/>
  <c r="O22" i="5"/>
  <c r="O27" i="5"/>
  <c r="O27" i="1"/>
  <c r="O22" i="1"/>
  <c r="O13" i="1"/>
  <c r="M41" i="5"/>
  <c r="M40" i="5" s="1"/>
  <c r="L103" i="5"/>
  <c r="C20" i="3"/>
  <c r="G17" i="3"/>
  <c r="C22" i="3"/>
  <c r="K71" i="5"/>
  <c r="N14" i="1"/>
  <c r="N16" i="1"/>
  <c r="N15" i="1"/>
  <c r="N28" i="1"/>
  <c r="N30" i="1"/>
  <c r="N29" i="1"/>
  <c r="N30" i="5"/>
  <c r="N29" i="5"/>
  <c r="N28" i="5"/>
  <c r="L74" i="1"/>
  <c r="L62" i="1"/>
  <c r="L59" i="1"/>
  <c r="L60" i="1"/>
  <c r="O16" i="5"/>
  <c r="O15" i="5"/>
  <c r="O14" i="5"/>
  <c r="L50" i="5"/>
  <c r="L93" i="1" l="1"/>
  <c r="L70" i="5"/>
  <c r="L71" i="5" s="1"/>
  <c r="L69" i="5"/>
  <c r="O28" i="1"/>
  <c r="O30" i="1"/>
  <c r="O29" i="1"/>
  <c r="M44" i="6"/>
  <c r="M58" i="6" s="1"/>
  <c r="M48" i="6"/>
  <c r="O30" i="5"/>
  <c r="O29" i="5"/>
  <c r="O28" i="5"/>
  <c r="L63" i="1"/>
  <c r="E11" i="2" s="1"/>
  <c r="L68" i="1"/>
  <c r="L103" i="1"/>
  <c r="E8" i="2" s="1"/>
  <c r="E7" i="2" s="1"/>
  <c r="E10" i="2" s="1"/>
  <c r="E12" i="2" s="1"/>
  <c r="E16" i="2" s="1"/>
  <c r="M41" i="1"/>
  <c r="M40" i="1" s="1"/>
  <c r="M44" i="5"/>
  <c r="M58" i="5" s="1"/>
  <c r="M48" i="5"/>
  <c r="H14" i="2"/>
  <c r="N17" i="3"/>
  <c r="J22" i="3"/>
  <c r="J20" i="3"/>
  <c r="L97" i="1"/>
  <c r="L95" i="1"/>
  <c r="L94" i="1"/>
  <c r="O14" i="1"/>
  <c r="O16" i="1"/>
  <c r="O15" i="1"/>
  <c r="L56" i="5"/>
  <c r="L55" i="5"/>
  <c r="L56" i="6"/>
  <c r="L55" i="6"/>
  <c r="L70" i="6"/>
  <c r="L71" i="6" s="1"/>
  <c r="L69" i="6"/>
  <c r="H9" i="2"/>
  <c r="H13" i="2" s="1"/>
  <c r="L94" i="5"/>
  <c r="L97" i="5"/>
  <c r="L95" i="5"/>
  <c r="L53" i="1"/>
  <c r="L54" i="1"/>
  <c r="M102" i="5" l="1"/>
  <c r="M74" i="5"/>
  <c r="M60" i="5"/>
  <c r="M59" i="5"/>
  <c r="M102" i="6"/>
  <c r="M74" i="6"/>
  <c r="M93" i="6" s="1"/>
  <c r="M60" i="6"/>
  <c r="M59" i="6"/>
  <c r="M89" i="5"/>
  <c r="M91" i="5" s="1"/>
  <c r="M49" i="5"/>
  <c r="M38" i="5"/>
  <c r="M51" i="5"/>
  <c r="M50" i="5"/>
  <c r="M87" i="5"/>
  <c r="M80" i="5"/>
  <c r="M49" i="6"/>
  <c r="M38" i="6"/>
  <c r="M89" i="6"/>
  <c r="M91" i="6" s="1"/>
  <c r="M51" i="6"/>
  <c r="M50" i="6"/>
  <c r="M80" i="6"/>
  <c r="M87" i="6"/>
  <c r="M44" i="1"/>
  <c r="M58" i="1" s="1"/>
  <c r="M48" i="1"/>
  <c r="E22" i="2"/>
  <c r="E17" i="2"/>
  <c r="L69" i="1"/>
  <c r="L70" i="1"/>
  <c r="L71" i="1" s="1"/>
  <c r="L55" i="1"/>
  <c r="L56" i="1"/>
  <c r="M94" i="6" l="1"/>
  <c r="M97" i="6"/>
  <c r="M95" i="6"/>
  <c r="M93" i="5"/>
  <c r="M54" i="6"/>
  <c r="M53" i="6"/>
  <c r="M51" i="1"/>
  <c r="M89" i="1"/>
  <c r="M91" i="1" s="1"/>
  <c r="M38" i="1"/>
  <c r="M49" i="1"/>
  <c r="F6" i="2" s="1"/>
  <c r="F5" i="2" s="1"/>
  <c r="M80" i="1"/>
  <c r="M87" i="1"/>
  <c r="M105" i="6"/>
  <c r="M107" i="6" s="1"/>
  <c r="M108" i="6" s="1"/>
  <c r="M103" i="6"/>
  <c r="N41" i="6"/>
  <c r="N40" i="6" s="1"/>
  <c r="M106" i="6"/>
  <c r="M61" i="6" s="1"/>
  <c r="M62" i="6" s="1"/>
  <c r="M54" i="5"/>
  <c r="M53" i="5"/>
  <c r="M102" i="1"/>
  <c r="M59" i="1"/>
  <c r="M74" i="1"/>
  <c r="M60" i="1"/>
  <c r="M105" i="5"/>
  <c r="M107" i="5" s="1"/>
  <c r="M108" i="5" s="1"/>
  <c r="M106" i="5"/>
  <c r="M61" i="5" s="1"/>
  <c r="M62" i="5" s="1"/>
  <c r="N41" i="5"/>
  <c r="N40" i="5" s="1"/>
  <c r="M103" i="5"/>
  <c r="M93" i="1" l="1"/>
  <c r="M94" i="1"/>
  <c r="M95" i="1"/>
  <c r="M97" i="1"/>
  <c r="M63" i="5"/>
  <c r="M68" i="5" s="1"/>
  <c r="M56" i="5"/>
  <c r="M55" i="5"/>
  <c r="M53" i="1"/>
  <c r="M54" i="1"/>
  <c r="C109" i="6"/>
  <c r="M98" i="6"/>
  <c r="M56" i="6"/>
  <c r="M55" i="6"/>
  <c r="M105" i="1"/>
  <c r="N41" i="1"/>
  <c r="N40" i="1" s="1"/>
  <c r="M106" i="1"/>
  <c r="M61" i="1" s="1"/>
  <c r="M62" i="1" s="1"/>
  <c r="M103" i="1"/>
  <c r="F8" i="2" s="1"/>
  <c r="F7" i="2" s="1"/>
  <c r="F10" i="2" s="1"/>
  <c r="M94" i="5"/>
  <c r="M97" i="5"/>
  <c r="M95" i="5"/>
  <c r="N44" i="5"/>
  <c r="N58" i="5" s="1"/>
  <c r="N48" i="5"/>
  <c r="C109" i="5"/>
  <c r="M98" i="5"/>
  <c r="M68" i="6"/>
  <c r="M63" i="6"/>
  <c r="M50" i="1"/>
  <c r="N44" i="6"/>
  <c r="N58" i="6" s="1"/>
  <c r="N48" i="6"/>
  <c r="M70" i="5" l="1"/>
  <c r="M71" i="5" s="1"/>
  <c r="M69" i="5"/>
  <c r="N89" i="6"/>
  <c r="N91" i="6" s="1"/>
  <c r="N38" i="6"/>
  <c r="N49" i="6"/>
  <c r="N51" i="6"/>
  <c r="N50" i="6" s="1"/>
  <c r="N80" i="6"/>
  <c r="N87" i="6"/>
  <c r="M107" i="1"/>
  <c r="M108" i="1" s="1"/>
  <c r="N74" i="5"/>
  <c r="N60" i="5"/>
  <c r="N59" i="5"/>
  <c r="N102" i="5"/>
  <c r="M63" i="1"/>
  <c r="F11" i="2" s="1"/>
  <c r="F12" i="2" s="1"/>
  <c r="F16" i="2" s="1"/>
  <c r="N44" i="1"/>
  <c r="N58" i="1" s="1"/>
  <c r="N48" i="1"/>
  <c r="N89" i="5"/>
  <c r="N91" i="5" s="1"/>
  <c r="N49" i="5"/>
  <c r="N51" i="5"/>
  <c r="N38" i="5"/>
  <c r="N80" i="5"/>
  <c r="N87" i="5"/>
  <c r="N102" i="6"/>
  <c r="N74" i="6"/>
  <c r="N93" i="6" s="1"/>
  <c r="N60" i="6"/>
  <c r="N59" i="6"/>
  <c r="M70" i="6"/>
  <c r="M71" i="6" s="1"/>
  <c r="M69" i="6"/>
  <c r="M55" i="1"/>
  <c r="M56" i="1"/>
  <c r="M68" i="1" l="1"/>
  <c r="M70" i="1"/>
  <c r="M71" i="1" s="1"/>
  <c r="M69" i="1"/>
  <c r="N103" i="5"/>
  <c r="N106" i="5"/>
  <c r="N61" i="5" s="1"/>
  <c r="N62" i="5" s="1"/>
  <c r="O41" i="5"/>
  <c r="O40" i="5" s="1"/>
  <c r="O41" i="6"/>
  <c r="O40" i="6" s="1"/>
  <c r="N106" i="6"/>
  <c r="N61" i="6" s="1"/>
  <c r="N62" i="6" s="1"/>
  <c r="N103" i="6"/>
  <c r="N51" i="1"/>
  <c r="N50" i="1"/>
  <c r="N38" i="1"/>
  <c r="N89" i="1"/>
  <c r="N91" i="1" s="1"/>
  <c r="N49" i="1"/>
  <c r="G6" i="2" s="1"/>
  <c r="G5" i="2" s="1"/>
  <c r="N87" i="1"/>
  <c r="N80" i="1"/>
  <c r="N93" i="5"/>
  <c r="N54" i="5"/>
  <c r="N53" i="5"/>
  <c r="N54" i="6"/>
  <c r="N53" i="6"/>
  <c r="N50" i="5"/>
  <c r="N94" i="6"/>
  <c r="N97" i="6"/>
  <c r="N95" i="6"/>
  <c r="F22" i="2"/>
  <c r="F17" i="2"/>
  <c r="N74" i="1"/>
  <c r="N93" i="1" s="1"/>
  <c r="N59" i="1"/>
  <c r="N60" i="1"/>
  <c r="C109" i="1"/>
  <c r="M98" i="1"/>
  <c r="N94" i="1" l="1"/>
  <c r="N95" i="1"/>
  <c r="N97" i="1"/>
  <c r="N55" i="6"/>
  <c r="N56" i="6"/>
  <c r="N94" i="5"/>
  <c r="N95" i="5"/>
  <c r="N97" i="5"/>
  <c r="N63" i="6"/>
  <c r="N68" i="6"/>
  <c r="O44" i="6"/>
  <c r="O58" i="6" s="1"/>
  <c r="O48" i="6"/>
  <c r="O44" i="5"/>
  <c r="O58" i="5" s="1"/>
  <c r="O48" i="5"/>
  <c r="N63" i="5"/>
  <c r="N68" i="5" s="1"/>
  <c r="N106" i="1"/>
  <c r="N61" i="1" s="1"/>
  <c r="N62" i="1" s="1"/>
  <c r="N103" i="1"/>
  <c r="G8" i="2" s="1"/>
  <c r="G7" i="2" s="1"/>
  <c r="G10" i="2" s="1"/>
  <c r="O41" i="1"/>
  <c r="O40" i="1" s="1"/>
  <c r="N56" i="5"/>
  <c r="N55" i="5"/>
  <c r="N53" i="1"/>
  <c r="N54" i="1"/>
  <c r="N70" i="5" l="1"/>
  <c r="N71" i="5" s="1"/>
  <c r="N69" i="5"/>
  <c r="O89" i="6"/>
  <c r="O91" i="6" s="1"/>
  <c r="O49" i="6"/>
  <c r="O51" i="6"/>
  <c r="O38" i="6"/>
  <c r="O80" i="6"/>
  <c r="O87" i="6"/>
  <c r="O89" i="5"/>
  <c r="O91" i="5" s="1"/>
  <c r="O49" i="5"/>
  <c r="O51" i="5"/>
  <c r="O38" i="5"/>
  <c r="O80" i="5"/>
  <c r="O87" i="5"/>
  <c r="O44" i="1"/>
  <c r="O58" i="1" s="1"/>
  <c r="O102" i="1" s="1"/>
  <c r="O48" i="1"/>
  <c r="O74" i="6"/>
  <c r="O93" i="6" s="1"/>
  <c r="O60" i="6"/>
  <c r="O102" i="6"/>
  <c r="O59" i="6"/>
  <c r="O74" i="5"/>
  <c r="O93" i="5" s="1"/>
  <c r="O60" i="5"/>
  <c r="O59" i="5"/>
  <c r="O102" i="5"/>
  <c r="N70" i="6"/>
  <c r="N71" i="6" s="1"/>
  <c r="N69" i="6"/>
  <c r="N63" i="1"/>
  <c r="G11" i="2" s="1"/>
  <c r="G12" i="2" s="1"/>
  <c r="G16" i="2" s="1"/>
  <c r="N55" i="1"/>
  <c r="N56" i="1"/>
  <c r="G17" i="2" l="1"/>
  <c r="G22" i="2"/>
  <c r="O54" i="5"/>
  <c r="O53" i="5"/>
  <c r="O97" i="6"/>
  <c r="O95" i="6"/>
  <c r="O94" i="6"/>
  <c r="O89" i="1"/>
  <c r="O91" i="1" s="1"/>
  <c r="O51" i="1"/>
  <c r="O38" i="1"/>
  <c r="O50" i="1"/>
  <c r="O49" i="1"/>
  <c r="H6" i="2" s="1"/>
  <c r="H5" i="2" s="1"/>
  <c r="I5" i="2" s="1"/>
  <c r="O87" i="1"/>
  <c r="O80" i="1"/>
  <c r="O94" i="5"/>
  <c r="O95" i="5"/>
  <c r="O97" i="5"/>
  <c r="O54" i="6"/>
  <c r="O53" i="6"/>
  <c r="O103" i="6"/>
  <c r="O106" i="6"/>
  <c r="O61" i="6" s="1"/>
  <c r="O62" i="6" s="1"/>
  <c r="O103" i="5"/>
  <c r="O106" i="5"/>
  <c r="O61" i="5" s="1"/>
  <c r="O62" i="5" s="1"/>
  <c r="O50" i="6"/>
  <c r="O50" i="5"/>
  <c r="N68" i="1"/>
  <c r="O74" i="1"/>
  <c r="O59" i="1"/>
  <c r="O60" i="1"/>
  <c r="O63" i="5" l="1"/>
  <c r="O68" i="5" s="1"/>
  <c r="O106" i="1"/>
  <c r="O61" i="1" s="1"/>
  <c r="O62" i="1" s="1"/>
  <c r="O103" i="1"/>
  <c r="H8" i="2" s="1"/>
  <c r="H7" i="2" s="1"/>
  <c r="H10" i="2" s="1"/>
  <c r="O63" i="6"/>
  <c r="O68" i="6"/>
  <c r="I9" i="2"/>
  <c r="I13" i="2" s="1"/>
  <c r="I7" i="2"/>
  <c r="I10" i="2" s="1"/>
  <c r="I12" i="2" s="1"/>
  <c r="I14" i="2"/>
  <c r="O93" i="1"/>
  <c r="O56" i="5"/>
  <c r="O55" i="5"/>
  <c r="N70" i="1"/>
  <c r="N71" i="1" s="1"/>
  <c r="N69" i="1"/>
  <c r="O56" i="6"/>
  <c r="O55" i="6"/>
  <c r="O53" i="1"/>
  <c r="O54" i="1"/>
  <c r="I16" i="2" l="1"/>
  <c r="C26" i="2" s="1"/>
  <c r="C27" i="2" s="1"/>
  <c r="O69" i="5"/>
  <c r="O70" i="5"/>
  <c r="O71" i="5" s="1"/>
  <c r="O69" i="6"/>
  <c r="O70" i="6"/>
  <c r="O71" i="6" s="1"/>
  <c r="O63" i="1"/>
  <c r="H11" i="2" s="1"/>
  <c r="H12" i="2" s="1"/>
  <c r="H16" i="2" s="1"/>
  <c r="O56" i="1"/>
  <c r="O55" i="1"/>
  <c r="O95" i="1"/>
  <c r="O94" i="1"/>
  <c r="O97" i="1"/>
  <c r="H17" i="2" l="1"/>
  <c r="H22" i="2"/>
  <c r="C25" i="2" s="1"/>
  <c r="I17" i="2"/>
  <c r="O68" i="1"/>
  <c r="O69" i="1" l="1"/>
  <c r="O70" i="1"/>
  <c r="O71" i="1" s="1"/>
  <c r="C30" i="2"/>
  <c r="C32" i="2" s="1"/>
  <c r="C35" i="2" l="1"/>
</calcChain>
</file>

<file path=xl/sharedStrings.xml><?xml version="1.0" encoding="utf-8"?>
<sst xmlns="http://schemas.openxmlformats.org/spreadsheetml/2006/main" count="470" uniqueCount="163">
  <si>
    <t>APG</t>
  </si>
  <si>
    <t>Income Statement Model</t>
  </si>
  <si>
    <t>Safety Services Revenue</t>
  </si>
  <si>
    <t xml:space="preserve">Growth </t>
  </si>
  <si>
    <t xml:space="preserve">Operating Income </t>
  </si>
  <si>
    <t xml:space="preserve">Operating Income Margin </t>
  </si>
  <si>
    <t xml:space="preserve">Incremental Margin </t>
  </si>
  <si>
    <t xml:space="preserve">Segment D&amp;A </t>
  </si>
  <si>
    <t>% of Revenue</t>
  </si>
  <si>
    <t>Segement Capex</t>
  </si>
  <si>
    <t xml:space="preserve">Safety FCF </t>
  </si>
  <si>
    <t>Growth</t>
  </si>
  <si>
    <t xml:space="preserve">FCF Margin </t>
  </si>
  <si>
    <t xml:space="preserve">Incremental FCF Margin </t>
  </si>
  <si>
    <t>Specialty Services Revenue</t>
  </si>
  <si>
    <t>Segment Capex</t>
  </si>
  <si>
    <t xml:space="preserve">Specialty FCF </t>
  </si>
  <si>
    <t>Coporate and Other Revenue</t>
  </si>
  <si>
    <t>Capex</t>
  </si>
  <si>
    <t xml:space="preserve">Corporate EBITDA Margin </t>
  </si>
  <si>
    <t>Acquired Revenue</t>
  </si>
  <si>
    <t>$ Deployed in M&amp;A</t>
  </si>
  <si>
    <t xml:space="preserve">EV/Revenue </t>
  </si>
  <si>
    <t xml:space="preserve">EBITDA Margin </t>
  </si>
  <si>
    <t xml:space="preserve">EBITDA </t>
  </si>
  <si>
    <t>Total Revenue</t>
  </si>
  <si>
    <t xml:space="preserve">COGS </t>
  </si>
  <si>
    <t xml:space="preserve">Gross Profit </t>
  </si>
  <si>
    <t>Gross Margin</t>
  </si>
  <si>
    <t xml:space="preserve">Incremental GM </t>
  </si>
  <si>
    <t xml:space="preserve">SG&amp;A </t>
  </si>
  <si>
    <t>Y/Y</t>
  </si>
  <si>
    <t>Impairment of Goodwill</t>
  </si>
  <si>
    <t>EBIT</t>
  </si>
  <si>
    <t xml:space="preserve">EBIT Margin </t>
  </si>
  <si>
    <t xml:space="preserve">Incremental EBIT Margin </t>
  </si>
  <si>
    <t xml:space="preserve">Interest and Other Expense </t>
  </si>
  <si>
    <t xml:space="preserve">Pre-Tax Profit </t>
  </si>
  <si>
    <t xml:space="preserve">Tax Expense </t>
  </si>
  <si>
    <t xml:space="preserve">Tax Rate </t>
  </si>
  <si>
    <t>Accrued Dividend on Series A Preferred</t>
  </si>
  <si>
    <t>Accrued Dividend on Series B Prreferred</t>
  </si>
  <si>
    <t xml:space="preserve">Net Income </t>
  </si>
  <si>
    <t xml:space="preserve">Margin </t>
  </si>
  <si>
    <t xml:space="preserve">EPS </t>
  </si>
  <si>
    <t xml:space="preserve">Shares Out </t>
  </si>
  <si>
    <t xml:space="preserve">NOPAT </t>
  </si>
  <si>
    <t xml:space="preserve">Safety Services D&amp;A </t>
  </si>
  <si>
    <t xml:space="preserve">% of Segment Revenue </t>
  </si>
  <si>
    <t xml:space="preserve">Specialty Services D&amp;A </t>
  </si>
  <si>
    <t xml:space="preserve">D&amp;A </t>
  </si>
  <si>
    <t xml:space="preserve">% of Revenue </t>
  </si>
  <si>
    <t xml:space="preserve">Safety Services Capex </t>
  </si>
  <si>
    <t>Specialty Services Capex</t>
  </si>
  <si>
    <t xml:space="preserve">Capex </t>
  </si>
  <si>
    <t xml:space="preserve">Working Capital </t>
  </si>
  <si>
    <t xml:space="preserve">Change in NWC </t>
  </si>
  <si>
    <t xml:space="preserve">FCF </t>
  </si>
  <si>
    <t>FCF Margin</t>
  </si>
  <si>
    <t xml:space="preserve">Incremental FCF </t>
  </si>
  <si>
    <t>FCF/Share</t>
  </si>
  <si>
    <t>Implied FCF Multiple</t>
  </si>
  <si>
    <t xml:space="preserve">Multiple </t>
  </si>
  <si>
    <t>EV</t>
  </si>
  <si>
    <t xml:space="preserve">Less: Debt </t>
  </si>
  <si>
    <t xml:space="preserve">Market Cap </t>
  </si>
  <si>
    <t>Share Price</t>
  </si>
  <si>
    <t>IRR</t>
  </si>
  <si>
    <t xml:space="preserve">Inspection </t>
  </si>
  <si>
    <t xml:space="preserve">Installation </t>
  </si>
  <si>
    <t xml:space="preserve">total </t>
  </si>
  <si>
    <t xml:space="preserve">Inspection Gross Margin </t>
  </si>
  <si>
    <t xml:space="preserve">Installation Gross Margin </t>
  </si>
  <si>
    <t xml:space="preserve">Inspection Gross Profit </t>
  </si>
  <si>
    <t>Installation Gross Profit</t>
  </si>
  <si>
    <t xml:space="preserve">Total Gross Margin </t>
  </si>
  <si>
    <t>VestRule - Discounted Cash Flow</t>
  </si>
  <si>
    <t xml:space="preserve">APG </t>
  </si>
  <si>
    <t xml:space="preserve">Actual </t>
  </si>
  <si>
    <t xml:space="preserve">Projected </t>
  </si>
  <si>
    <t xml:space="preserve">Terminal </t>
  </si>
  <si>
    <t xml:space="preserve">Revenue </t>
  </si>
  <si>
    <t>D&amp;A</t>
  </si>
  <si>
    <t xml:space="preserve">EBIT </t>
  </si>
  <si>
    <t xml:space="preserve">Taxes </t>
  </si>
  <si>
    <t xml:space="preserve">Add D&amp;A </t>
  </si>
  <si>
    <t>Less: Maintenance Capex</t>
  </si>
  <si>
    <t>UFCF</t>
  </si>
  <si>
    <t xml:space="preserve">Discount Rate </t>
  </si>
  <si>
    <t xml:space="preserve">Long Term Growth Rate </t>
  </si>
  <si>
    <t>Cash Flow Period Adjustment</t>
  </si>
  <si>
    <t xml:space="preserve">Effective FCF </t>
  </si>
  <si>
    <t xml:space="preserve">PV Factor </t>
  </si>
  <si>
    <t xml:space="preserve">Present Value of Explicit Cash Flows </t>
  </si>
  <si>
    <t xml:space="preserve">Terminal Value </t>
  </si>
  <si>
    <t xml:space="preserve">PV of Terminal Value </t>
  </si>
  <si>
    <t>Net Debt 12/31/22</t>
  </si>
  <si>
    <t xml:space="preserve">Equity Value </t>
  </si>
  <si>
    <t xml:space="preserve">Equity Value Per Share </t>
  </si>
  <si>
    <t xml:space="preserve">Share Price </t>
  </si>
  <si>
    <t xml:space="preserve">Potential Upside </t>
  </si>
  <si>
    <t xml:space="preserve">NTM EV/ Revenue </t>
  </si>
  <si>
    <t xml:space="preserve">NTM EV/ EBITDA </t>
  </si>
  <si>
    <t>NTM EV / FCFF</t>
  </si>
  <si>
    <t>Bear</t>
  </si>
  <si>
    <t>Base</t>
  </si>
  <si>
    <t>Bull</t>
  </si>
  <si>
    <t>Taxes</t>
  </si>
  <si>
    <t xml:space="preserve">as a % of Sales </t>
  </si>
  <si>
    <t>FCF</t>
  </si>
  <si>
    <t>Terminal FCF Multiple</t>
  </si>
  <si>
    <t>Terminal Stock Price</t>
  </si>
  <si>
    <t xml:space="preserve">Current Price </t>
  </si>
  <si>
    <t>PV</t>
  </si>
  <si>
    <t>DSO</t>
  </si>
  <si>
    <t xml:space="preserve">Growth (Decline) </t>
  </si>
  <si>
    <t>Increase</t>
  </si>
  <si>
    <t>Decline</t>
  </si>
  <si>
    <t>EBITDA</t>
  </si>
  <si>
    <t>EBITDA Margin</t>
  </si>
  <si>
    <t>Multiple</t>
  </si>
  <si>
    <t>Implied Multiple</t>
  </si>
  <si>
    <t>Implied EV</t>
  </si>
  <si>
    <t>Debt</t>
  </si>
  <si>
    <t>Market Cap</t>
  </si>
  <si>
    <t xml:space="preserve">Safety Services </t>
  </si>
  <si>
    <t xml:space="preserve">Specialty Services </t>
  </si>
  <si>
    <t xml:space="preserve">Total </t>
  </si>
  <si>
    <t xml:space="preserve">End Market </t>
  </si>
  <si>
    <t xml:space="preserve">Commercial / Education / Entertainment </t>
  </si>
  <si>
    <t xml:space="preserve">Industrial </t>
  </si>
  <si>
    <t xml:space="preserve">Distribution Centers </t>
  </si>
  <si>
    <t xml:space="preserve">Other </t>
  </si>
  <si>
    <t xml:space="preserve">High Tech </t>
  </si>
  <si>
    <t xml:space="preserve">Healthcare </t>
  </si>
  <si>
    <t xml:space="preserve">Government / Infrastructure </t>
  </si>
  <si>
    <t xml:space="preserve">Telecom / Utilities </t>
  </si>
  <si>
    <t xml:space="preserve">Transmission </t>
  </si>
  <si>
    <t xml:space="preserve">CTAS </t>
  </si>
  <si>
    <t xml:space="preserve">JCI </t>
  </si>
  <si>
    <t xml:space="preserve">OTIS </t>
  </si>
  <si>
    <t xml:space="preserve">Chubb </t>
  </si>
  <si>
    <t>APG  Estimate</t>
  </si>
  <si>
    <t xml:space="preserve">Chubb Historic Revenue Growth </t>
  </si>
  <si>
    <t xml:space="preserve">Chubb Margins </t>
  </si>
  <si>
    <t xml:space="preserve">Service </t>
  </si>
  <si>
    <t xml:space="preserve">Of Total </t>
  </si>
  <si>
    <t xml:space="preserve">Segment </t>
  </si>
  <si>
    <t xml:space="preserve">Fire Detection and &amp; Alarms </t>
  </si>
  <si>
    <t xml:space="preserve">Electronic Security </t>
  </si>
  <si>
    <t xml:space="preserve">Monitoring </t>
  </si>
  <si>
    <t xml:space="preserve">Portable Fire Extinguishers </t>
  </si>
  <si>
    <t xml:space="preserve">Chubb Revenue </t>
  </si>
  <si>
    <t xml:space="preserve">Chubb Adj. EBITDA </t>
  </si>
  <si>
    <t xml:space="preserve">Chubb Employees </t>
  </si>
  <si>
    <t xml:space="preserve">APG Revenue </t>
  </si>
  <si>
    <t>APG EBITDA</t>
  </si>
  <si>
    <t>APG Employees</t>
  </si>
  <si>
    <t>Chubb</t>
  </si>
  <si>
    <t>Gross M&amp;A Spend</t>
  </si>
  <si>
    <t xml:space="preserve">M&amp;A as a % of Revenue </t>
  </si>
  <si>
    <t xml:space="preserve">EBITDA margin </t>
  </si>
  <si>
    <t xml:space="preserve">Historic EBITDA Margin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</si>
</sst>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"/>
    <numFmt numFmtId="165" formatCode="&quot;$&quot;#,##0"/>
    <numFmt numFmtId="166" formatCode="0.0%"/>
    <numFmt numFmtId="167" formatCode="&quot;$&quot;#,##0.0"/>
    <numFmt numFmtId="168" formatCode="0.0"/>
    <numFmt numFmtId="169" formatCode="#,##0.0"/>
    <numFmt numFmtId="170" formatCode="_(&quot;$&quot;* #,##0_);_(&quot;$&quot;* \(#,##0\);_(&quot;$&quot;* &quot;-&quot;??_);_(@_)"/>
  </numFmts>
  <fonts count="1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i/>
      <sz val="10"/>
      <color rgb="FF4A86E8"/>
      <name val="Arial"/>
      <family val="2"/>
      <scheme val="minor"/>
    </font>
    <font>
      <sz val="10"/>
      <color rgb="FF4A86E8"/>
      <name val="Arial"/>
      <family val="2"/>
      <scheme val="minor"/>
    </font>
    <font>
      <b/>
      <sz val="10"/>
      <color rgb="FF4A86E8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FFFFFF"/>
      <name val="Arial"/>
      <family val="2"/>
      <scheme val="minor"/>
    </font>
    <font>
      <b/>
      <sz val="10"/>
      <color rgb="FF000000"/>
      <name val="Arial"/>
      <family val="2"/>
      <scheme val="minor"/>
    </font>
    <font>
      <u/>
      <sz val="10"/>
      <color theme="1"/>
      <name val="Arial"/>
      <family val="2"/>
    </font>
    <font>
      <sz val="10"/>
      <color rgb="FF0000FF"/>
      <name val="Arial"/>
      <family val="2"/>
      <scheme val="minor"/>
    </font>
    <font>
      <sz val="11"/>
      <color rgb="FF444746"/>
      <name val="&quot;Google Sans&quot;"/>
    </font>
  </fonts>
  <fills count="5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1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65" fontId="4" fillId="0" borderId="0" xfId="0" applyNumberFormat="1" applyFont="1"/>
    <xf numFmtId="165" fontId="3" fillId="0" borderId="0" xfId="0" applyNumberFormat="1" applyFont="1"/>
    <xf numFmtId="165" fontId="3" fillId="0" borderId="4" xfId="0" applyNumberFormat="1" applyFont="1" applyBorder="1"/>
    <xf numFmtId="165" fontId="3" fillId="0" borderId="5" xfId="0" applyNumberFormat="1" applyFont="1" applyBorder="1"/>
    <xf numFmtId="166" fontId="5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/>
    <xf numFmtId="166" fontId="7" fillId="0" borderId="0" xfId="0" applyNumberFormat="1" applyFont="1"/>
    <xf numFmtId="165" fontId="3" fillId="0" borderId="1" xfId="0" applyNumberFormat="1" applyFont="1" applyBorder="1"/>
    <xf numFmtId="166" fontId="5" fillId="0" borderId="0" xfId="0" applyNumberFormat="1" applyFont="1"/>
    <xf numFmtId="0" fontId="6" fillId="0" borderId="0" xfId="0" applyFont="1"/>
    <xf numFmtId="166" fontId="6" fillId="0" borderId="1" xfId="0" applyNumberFormat="1" applyFont="1" applyBorder="1"/>
    <xf numFmtId="165" fontId="2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/>
    <xf numFmtId="166" fontId="1" fillId="0" borderId="0" xfId="0" applyNumberFormat="1" applyFont="1"/>
    <xf numFmtId="166" fontId="8" fillId="0" borderId="1" xfId="0" applyNumberFormat="1" applyFont="1" applyBorder="1"/>
    <xf numFmtId="166" fontId="8" fillId="0" borderId="0" xfId="0" applyNumberFormat="1" applyFont="1"/>
    <xf numFmtId="10" fontId="2" fillId="0" borderId="0" xfId="0" applyNumberFormat="1" applyFont="1"/>
    <xf numFmtId="166" fontId="1" fillId="0" borderId="1" xfId="0" applyNumberFormat="1" applyFont="1" applyBorder="1"/>
    <xf numFmtId="0" fontId="4" fillId="0" borderId="0" xfId="0" applyFont="1"/>
    <xf numFmtId="0" fontId="3" fillId="0" borderId="0" xfId="0" applyFont="1"/>
    <xf numFmtId="166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0" fontId="3" fillId="0" borderId="0" xfId="0" applyNumberFormat="1" applyFont="1"/>
    <xf numFmtId="166" fontId="6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5" fontId="9" fillId="0" borderId="1" xfId="0" applyNumberFormat="1" applyFont="1" applyBorder="1"/>
    <xf numFmtId="165" fontId="9" fillId="0" borderId="0" xfId="0" applyNumberFormat="1" applyFont="1"/>
    <xf numFmtId="165" fontId="8" fillId="0" borderId="1" xfId="0" applyNumberFormat="1" applyFont="1" applyBorder="1"/>
    <xf numFmtId="165" fontId="8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/>
    <xf numFmtId="165" fontId="3" fillId="2" borderId="3" xfId="0" applyNumberFormat="1" applyFont="1" applyFill="1" applyBorder="1"/>
    <xf numFmtId="0" fontId="1" fillId="0" borderId="0" xfId="0" applyFont="1" applyAlignment="1">
      <alignment horizontal="right"/>
    </xf>
    <xf numFmtId="167" fontId="1" fillId="0" borderId="0" xfId="0" applyNumberFormat="1" applyFont="1"/>
    <xf numFmtId="167" fontId="1" fillId="0" borderId="0" xfId="0" applyNumberFormat="1" applyFont="1" applyAlignment="1">
      <alignment horizontal="right"/>
    </xf>
    <xf numFmtId="166" fontId="10" fillId="0" borderId="1" xfId="0" applyNumberFormat="1" applyFont="1" applyBorder="1"/>
    <xf numFmtId="166" fontId="10" fillId="0" borderId="0" xfId="0" applyNumberFormat="1" applyFont="1"/>
    <xf numFmtId="167" fontId="1" fillId="0" borderId="1" xfId="0" applyNumberFormat="1" applyFont="1" applyBorder="1"/>
    <xf numFmtId="9" fontId="7" fillId="0" borderId="1" xfId="0" applyNumberFormat="1" applyFont="1" applyBorder="1"/>
    <xf numFmtId="9" fontId="7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168" fontId="1" fillId="0" borderId="1" xfId="0" applyNumberFormat="1" applyFont="1" applyBorder="1"/>
    <xf numFmtId="168" fontId="1" fillId="0" borderId="0" xfId="0" applyNumberFormat="1" applyFont="1"/>
    <xf numFmtId="0" fontId="6" fillId="0" borderId="0" xfId="0" applyFont="1" applyAlignment="1">
      <alignment horizontal="right"/>
    </xf>
    <xf numFmtId="9" fontId="6" fillId="0" borderId="1" xfId="0" applyNumberFormat="1" applyFont="1" applyBorder="1"/>
    <xf numFmtId="9" fontId="6" fillId="0" borderId="0" xfId="0" applyNumberFormat="1" applyFont="1"/>
    <xf numFmtId="0" fontId="8" fillId="0" borderId="0" xfId="0" applyFont="1"/>
    <xf numFmtId="10" fontId="1" fillId="0" borderId="0" xfId="0" applyNumberFormat="1" applyFont="1"/>
    <xf numFmtId="169" fontId="1" fillId="0" borderId="0" xfId="0" applyNumberFormat="1" applyFont="1"/>
    <xf numFmtId="169" fontId="1" fillId="0" borderId="1" xfId="0" applyNumberFormat="1" applyFont="1" applyBorder="1"/>
    <xf numFmtId="164" fontId="3" fillId="0" borderId="0" xfId="0" applyNumberFormat="1" applyFont="1"/>
    <xf numFmtId="166" fontId="3" fillId="0" borderId="0" xfId="0" applyNumberFormat="1" applyFont="1"/>
    <xf numFmtId="0" fontId="11" fillId="0" borderId="0" xfId="0" applyFont="1"/>
    <xf numFmtId="0" fontId="11" fillId="0" borderId="1" xfId="0" applyFont="1" applyBorder="1"/>
    <xf numFmtId="9" fontId="11" fillId="0" borderId="1" xfId="0" applyNumberFormat="1" applyFont="1" applyBorder="1"/>
    <xf numFmtId="9" fontId="11" fillId="0" borderId="0" xfId="0" applyNumberFormat="1" applyFont="1"/>
    <xf numFmtId="10" fontId="11" fillId="0" borderId="1" xfId="0" applyNumberFormat="1" applyFont="1" applyBorder="1"/>
    <xf numFmtId="10" fontId="11" fillId="0" borderId="0" xfId="0" applyNumberFormat="1" applyFo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/>
    <xf numFmtId="0" fontId="12" fillId="0" borderId="2" xfId="0" applyFont="1" applyBorder="1"/>
    <xf numFmtId="0" fontId="12" fillId="0" borderId="6" xfId="0" applyFont="1" applyBorder="1"/>
    <xf numFmtId="0" fontId="10" fillId="0" borderId="2" xfId="0" applyFont="1" applyBorder="1" applyAlignment="1">
      <alignment horizontal="center"/>
    </xf>
    <xf numFmtId="165" fontId="1" fillId="0" borderId="7" xfId="0" applyNumberFormat="1" applyFont="1" applyBorder="1"/>
    <xf numFmtId="166" fontId="1" fillId="2" borderId="7" xfId="0" applyNumberFormat="1" applyFont="1" applyFill="1" applyBorder="1"/>
    <xf numFmtId="166" fontId="1" fillId="2" borderId="0" xfId="0" applyNumberFormat="1" applyFont="1" applyFill="1"/>
    <xf numFmtId="9" fontId="1" fillId="2" borderId="0" xfId="0" applyNumberFormat="1" applyFont="1" applyFill="1"/>
    <xf numFmtId="0" fontId="1" fillId="0" borderId="7" xfId="0" applyFont="1" applyBorder="1"/>
    <xf numFmtId="0" fontId="3" fillId="0" borderId="3" xfId="0" applyFont="1" applyBorder="1"/>
    <xf numFmtId="165" fontId="3" fillId="0" borderId="3" xfId="0" applyNumberFormat="1" applyFont="1" applyBorder="1"/>
    <xf numFmtId="165" fontId="3" fillId="0" borderId="8" xfId="0" applyNumberFormat="1" applyFont="1" applyBorder="1"/>
    <xf numFmtId="2" fontId="1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/>
    <xf numFmtId="168" fontId="14" fillId="0" borderId="0" xfId="0" applyNumberFormat="1" applyFon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5" fillId="4" borderId="0" xfId="0" applyFont="1" applyFill="1" applyAlignment="1">
      <alignment horizontal="left"/>
    </xf>
    <xf numFmtId="10" fontId="2" fillId="0" borderId="0" xfId="0" applyNumberFormat="1" applyFont="1" applyAlignment="1">
      <alignment horizontal="right"/>
    </xf>
    <xf numFmtId="164" fontId="3" fillId="2" borderId="0" xfId="0" applyNumberFormat="1" applyFont="1" applyFill="1"/>
    <xf numFmtId="10" fontId="1" fillId="0" borderId="1" xfId="0" applyNumberFormat="1" applyFont="1" applyBorder="1"/>
    <xf numFmtId="10" fontId="7" fillId="0" borderId="1" xfId="0" applyNumberFormat="1" applyFont="1" applyBorder="1"/>
    <xf numFmtId="10" fontId="7" fillId="0" borderId="0" xfId="0" applyNumberFormat="1" applyFont="1"/>
    <xf numFmtId="165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'Charts '!$B$7</c:f>
              <c:strCache>
                <c:ptCount val="1"/>
                <c:pt idx="0">
                  <c:v>Revenue </c:v>
                </c:pt>
              </c:strCache>
            </c:strRef>
          </c:tx>
          <c:dPt>
            <c:idx val="0"/>
            <c:bubble3D val="0"/>
            <c:spPr>
              <a:solidFill>
                <a:srgbClr val="9900FF"/>
              </a:solidFill>
            </c:spPr>
            <c:extLst>
              <c:ext xmlns:c16="http://schemas.microsoft.com/office/drawing/2014/chart" uri="{C3380CC4-5D6E-409C-BE32-E72D297353CC}">
                <c16:uniqueId val="{00000001-7B1A-4BA9-BED1-A26A8ADFEE5E}"/>
              </c:ext>
            </c:extLst>
          </c:dPt>
          <c:dPt>
            <c:idx val="1"/>
            <c:bubble3D val="0"/>
            <c:spPr>
              <a:solidFill>
                <a:srgbClr val="CF67FF"/>
              </a:solidFill>
            </c:spPr>
            <c:extLst>
              <c:ext xmlns:c16="http://schemas.microsoft.com/office/drawing/2014/chart" uri="{C3380CC4-5D6E-409C-BE32-E72D297353CC}">
                <c16:uniqueId val="{00000003-7B1A-4BA9-BED1-A26A8ADFEE5E}"/>
              </c:ext>
            </c:extLst>
          </c:dPt>
          <c:dPt>
            <c:idx val="2"/>
            <c:bubble3D val="0"/>
            <c:spPr>
              <a:solidFill>
                <a:srgbClr val="EBC1FF"/>
              </a:solidFill>
            </c:spPr>
            <c:extLst>
              <c:ext xmlns:c16="http://schemas.microsoft.com/office/drawing/2014/chart" uri="{C3380CC4-5D6E-409C-BE32-E72D297353CC}">
                <c16:uniqueId val="{00000005-7B1A-4BA9-BED1-A26A8ADFEE5E}"/>
              </c:ext>
            </c:extLst>
          </c:dPt>
          <c:dPt>
            <c:idx val="3"/>
            <c:bubble3D val="0"/>
            <c:spPr>
              <a:solidFill>
                <a:srgbClr val="B7B7B7"/>
              </a:solidFill>
            </c:spPr>
            <c:extLst>
              <c:ext xmlns:c16="http://schemas.microsoft.com/office/drawing/2014/chart" uri="{C3380CC4-5D6E-409C-BE32-E72D297353CC}">
                <c16:uniqueId val="{00000007-7B1A-4BA9-BED1-A26A8ADFEE5E}"/>
              </c:ext>
            </c:extLst>
          </c:dPt>
          <c:dPt>
            <c:idx val="4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9-7B1A-4BA9-BED1-A26A8ADFEE5E}"/>
              </c:ext>
            </c:extLst>
          </c:dPt>
          <c:dPt>
            <c:idx val="5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B-7B1A-4BA9-BED1-A26A8ADFEE5E}"/>
              </c:ext>
            </c:extLst>
          </c:dPt>
          <c:dPt>
            <c:idx val="6"/>
            <c:bubble3D val="0"/>
            <c:spPr>
              <a:solidFill>
                <a:srgbClr val="6D9EEB"/>
              </a:solidFill>
            </c:spPr>
            <c:extLst>
              <c:ext xmlns:c16="http://schemas.microsoft.com/office/drawing/2014/chart" uri="{C3380CC4-5D6E-409C-BE32-E72D297353CC}">
                <c16:uniqueId val="{0000000D-7B1A-4BA9-BED1-A26A8ADFEE5E}"/>
              </c:ext>
            </c:extLst>
          </c:dPt>
          <c:dPt>
            <c:idx val="7"/>
            <c:bubble3D val="0"/>
            <c:spPr>
              <a:solidFill>
                <a:srgbClr val="EFEFEF"/>
              </a:solidFill>
            </c:spPr>
            <c:extLst>
              <c:ext xmlns:c16="http://schemas.microsoft.com/office/drawing/2014/chart" uri="{C3380CC4-5D6E-409C-BE32-E72D297353CC}">
                <c16:uniqueId val="{0000000F-7B1A-4BA9-BED1-A26A8ADFEE5E}"/>
              </c:ext>
            </c:extLst>
          </c:dPt>
          <c:dPt>
            <c:idx val="8"/>
            <c:bubble3D val="0"/>
            <c:spPr>
              <a:solidFill>
                <a:srgbClr val="9DD8FF"/>
              </a:solidFill>
            </c:spPr>
            <c:extLst>
              <c:ext xmlns:c16="http://schemas.microsoft.com/office/drawing/2014/chart" uri="{C3380CC4-5D6E-409C-BE32-E72D297353CC}">
                <c16:uniqueId val="{00000011-7B1A-4BA9-BED1-A26A8ADFEE5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B1A-4BA9-BED1-A26A8ADFEE5E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 lvl="0">
                    <a:defRPr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B1A-4BA9-BED1-A26A8ADFEE5E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B1A-4BA9-BED1-A26A8ADFEE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'!$A$8:$A$16</c:f>
              <c:strCache>
                <c:ptCount val="9"/>
                <c:pt idx="0">
                  <c:v>Commercial / Education / Entertainment </c:v>
                </c:pt>
                <c:pt idx="1">
                  <c:v>Industrial </c:v>
                </c:pt>
                <c:pt idx="2">
                  <c:v>Distribution Centers </c:v>
                </c:pt>
                <c:pt idx="3">
                  <c:v>Other </c:v>
                </c:pt>
                <c:pt idx="4">
                  <c:v>High Tech </c:v>
                </c:pt>
                <c:pt idx="5">
                  <c:v>Healthcare </c:v>
                </c:pt>
                <c:pt idx="6">
                  <c:v>Government / Infrastructure </c:v>
                </c:pt>
                <c:pt idx="7">
                  <c:v>Telecom / Utilities </c:v>
                </c:pt>
                <c:pt idx="8">
                  <c:v>Transmission </c:v>
                </c:pt>
              </c:strCache>
            </c:strRef>
          </c:cat>
          <c:val>
            <c:numRef>
              <c:f>'Charts '!$B$8:$B$16</c:f>
              <c:numCache>
                <c:formatCode>0%</c:formatCode>
                <c:ptCount val="9"/>
                <c:pt idx="0">
                  <c:v>0.32</c:v>
                </c:pt>
                <c:pt idx="1">
                  <c:v>0.1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</c:v>
                </c:pt>
                <c:pt idx="7">
                  <c:v>0.15</c:v>
                </c:pt>
                <c:pt idx="8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B1A-4BA9-BED1-A26A8ADFE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1"/>
          <c:order val="1"/>
          <c:tx>
            <c:strRef>
              <c:f>'Charts '!$D$142</c:f>
              <c:strCache>
                <c:ptCount val="1"/>
                <c:pt idx="0">
                  <c:v>EBITDA </c:v>
                </c:pt>
              </c:strCache>
            </c:strRef>
          </c:tx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6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28-4210-B288-E12305D80EF1}"/>
              </c:ext>
            </c:extLst>
          </c:dPt>
          <c:dPt>
            <c:idx val="7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628-4210-B288-E12305D80EF1}"/>
              </c:ext>
            </c:extLst>
          </c:dPt>
          <c:dPt>
            <c:idx val="8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628-4210-B288-E12305D80EF1}"/>
              </c:ext>
            </c:extLst>
          </c:dPt>
          <c:dPt>
            <c:idx val="9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628-4210-B288-E12305D80EF1}"/>
              </c:ext>
            </c:extLst>
          </c:dPt>
          <c:dPt>
            <c:idx val="10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628-4210-B288-E12305D80EF1}"/>
              </c:ext>
            </c:extLst>
          </c:dPt>
          <c:cat>
            <c:numRef>
              <c:f>'Charts '!$A$143:$A$153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'Charts '!$D$143:$D$153</c:f>
              <c:numCache>
                <c:formatCode>General</c:formatCode>
                <c:ptCount val="11"/>
                <c:pt idx="0">
                  <c:v>190</c:v>
                </c:pt>
                <c:pt idx="1">
                  <c:v>258</c:v>
                </c:pt>
                <c:pt idx="2">
                  <c:v>78</c:v>
                </c:pt>
                <c:pt idx="3">
                  <c:v>89</c:v>
                </c:pt>
                <c:pt idx="4">
                  <c:v>328</c:v>
                </c:pt>
                <c:pt idx="5">
                  <c:v>457</c:v>
                </c:pt>
                <c:pt idx="6">
                  <c:v>617</c:v>
                </c:pt>
                <c:pt idx="7">
                  <c:v>773</c:v>
                </c:pt>
                <c:pt idx="8">
                  <c:v>928</c:v>
                </c:pt>
                <c:pt idx="9">
                  <c:v>1047</c:v>
                </c:pt>
                <c:pt idx="10">
                  <c:v>1163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E628-4210-B288-E12305D8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941350"/>
        <c:axId val="1458452281"/>
      </c:barChart>
      <c:lineChart>
        <c:grouping val="standard"/>
        <c:varyColors val="1"/>
        <c:ser>
          <c:idx val="0"/>
          <c:order val="0"/>
          <c:tx>
            <c:strRef>
              <c:f>'Charts '!$C$142</c:f>
              <c:strCache>
                <c:ptCount val="1"/>
                <c:pt idx="0">
                  <c:v>EBITDA margin </c:v>
                </c:pt>
              </c:strCache>
            </c:strRef>
          </c:tx>
          <c:spPr>
            <a:ln w="38100" cmpd="sng">
              <a:solidFill>
                <a:srgbClr val="EBC1FF">
                  <a:alpha val="100000"/>
                </a:srgbClr>
              </a:solidFill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E628-4210-B288-E12305D80EF1}"/>
              </c:ext>
            </c:extLst>
          </c:dPt>
          <c:cat>
            <c:numRef>
              <c:f>'Charts '!$A$143:$A$153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'Charts '!$C$143:$C$153</c:f>
              <c:numCache>
                <c:formatCode>0.00%</c:formatCode>
                <c:ptCount val="11"/>
                <c:pt idx="6">
                  <c:v>9.0200000000000002E-2</c:v>
                </c:pt>
                <c:pt idx="7">
                  <c:v>0.10680000000000001</c:v>
                </c:pt>
                <c:pt idx="8">
                  <c:v>0.12189999999999999</c:v>
                </c:pt>
                <c:pt idx="9">
                  <c:v>0.12959999999999999</c:v>
                </c:pt>
                <c:pt idx="10">
                  <c:v>0.13689999999999999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28-4210-B288-E12305D80EF1}"/>
            </c:ext>
          </c:extLst>
        </c:ser>
        <c:ser>
          <c:idx val="2"/>
          <c:order val="2"/>
          <c:tx>
            <c:strRef>
              <c:f>'Charts '!$E$142</c:f>
              <c:strCache>
                <c:ptCount val="1"/>
                <c:pt idx="0">
                  <c:v>Historic EBITDA Margin </c:v>
                </c:pt>
              </c:strCache>
            </c:strRef>
          </c:tx>
          <c:spPr>
            <a:ln w="38100" cmpd="sng">
              <a:solidFill>
                <a:srgbClr val="EBC1FF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'Charts '!$A$143:$A$153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'Charts '!$E$143:$E$149</c:f>
              <c:numCache>
                <c:formatCode>0.00%</c:formatCode>
                <c:ptCount val="7"/>
                <c:pt idx="0">
                  <c:v>6.2399999999999997E-2</c:v>
                </c:pt>
                <c:pt idx="1">
                  <c:v>7.1900000000000006E-2</c:v>
                </c:pt>
                <c:pt idx="2">
                  <c:v>1.9099999999999999E-2</c:v>
                </c:pt>
                <c:pt idx="3">
                  <c:v>2.4799999999999999E-2</c:v>
                </c:pt>
                <c:pt idx="4">
                  <c:v>8.3199999999999996E-2</c:v>
                </c:pt>
                <c:pt idx="5">
                  <c:v>6.9699999999999998E-2</c:v>
                </c:pt>
                <c:pt idx="6">
                  <c:v>9.0200000000000002E-2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28-4210-B288-E12305D80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087825"/>
        <c:axId val="1617451342"/>
      </c:lineChart>
      <c:catAx>
        <c:axId val="9739413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58452281"/>
        <c:crosses val="autoZero"/>
        <c:auto val="1"/>
        <c:lblAlgn val="ctr"/>
        <c:lblOffset val="100"/>
        <c:noMultiLvlLbl val="1"/>
      </c:catAx>
      <c:valAx>
        <c:axId val="14584522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EBITDA ($m)</a:t>
                </a:r>
              </a:p>
            </c:rich>
          </c:tx>
          <c:overlay val="0"/>
        </c:title>
        <c:numFmt formatCode="_(\$* #,##0_);_(\$* \(#,##0\);_(\$* &quot;-&quot;_);_(@_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73941350"/>
        <c:crosses val="autoZero"/>
        <c:crossBetween val="between"/>
      </c:valAx>
      <c:catAx>
        <c:axId val="40108782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17451342"/>
        <c:crosses val="autoZero"/>
        <c:auto val="1"/>
        <c:lblAlgn val="ctr"/>
        <c:lblOffset val="100"/>
        <c:noMultiLvlLbl val="1"/>
      </c:catAx>
      <c:valAx>
        <c:axId val="1617451342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EBITDA Margin (%)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01087825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'Charts '!$A$24:$A$28</c:f>
              <c:strCache>
                <c:ptCount val="5"/>
                <c:pt idx="0">
                  <c:v>CTAS </c:v>
                </c:pt>
                <c:pt idx="1">
                  <c:v>JCI </c:v>
                </c:pt>
                <c:pt idx="2">
                  <c:v>OTIS </c:v>
                </c:pt>
                <c:pt idx="3">
                  <c:v>Chubb </c:v>
                </c:pt>
                <c:pt idx="4">
                  <c:v>APG  Estimate</c:v>
                </c:pt>
              </c:strCache>
            </c:strRef>
          </c:cat>
          <c:val>
            <c:numRef>
              <c:f>'Charts '!$B$24:$B$28</c:f>
              <c:numCache>
                <c:formatCode>0%</c:formatCode>
                <c:ptCount val="5"/>
                <c:pt idx="0">
                  <c:v>0.95</c:v>
                </c:pt>
                <c:pt idx="1">
                  <c:v>0.9</c:v>
                </c:pt>
                <c:pt idx="2">
                  <c:v>0.94</c:v>
                </c:pt>
                <c:pt idx="3">
                  <c:v>0.9</c:v>
                </c:pt>
                <c:pt idx="4">
                  <c:v>0.91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EDD-49C7-B839-EF86FFD2A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566146"/>
        <c:axId val="154508878"/>
      </c:barChart>
      <c:catAx>
        <c:axId val="6645661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4508878"/>
        <c:crosses val="autoZero"/>
        <c:auto val="1"/>
        <c:lblAlgn val="ctr"/>
        <c:lblOffset val="100"/>
        <c:noMultiLvlLbl val="1"/>
      </c:catAx>
      <c:valAx>
        <c:axId val="1545088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Customer Retention (%)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456614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'Charts '!$E$7</c:f>
              <c:strCache>
                <c:ptCount val="1"/>
                <c:pt idx="0">
                  <c:v>Safety Services </c:v>
                </c:pt>
              </c:strCache>
            </c:strRef>
          </c:tx>
          <c:dPt>
            <c:idx val="0"/>
            <c:bubble3D val="0"/>
            <c:spPr>
              <a:solidFill>
                <a:srgbClr val="9900FF"/>
              </a:solidFill>
            </c:spPr>
            <c:extLst>
              <c:ext xmlns:c16="http://schemas.microsoft.com/office/drawing/2014/chart" uri="{C3380CC4-5D6E-409C-BE32-E72D297353CC}">
                <c16:uniqueId val="{00000001-A472-48C8-8372-4B80A71CB6BD}"/>
              </c:ext>
            </c:extLst>
          </c:dPt>
          <c:dPt>
            <c:idx val="1"/>
            <c:bubble3D val="0"/>
            <c:spPr>
              <a:solidFill>
                <a:srgbClr val="CF67FF"/>
              </a:solidFill>
            </c:spPr>
            <c:extLst>
              <c:ext xmlns:c16="http://schemas.microsoft.com/office/drawing/2014/chart" uri="{C3380CC4-5D6E-409C-BE32-E72D297353CC}">
                <c16:uniqueId val="{00000003-A472-48C8-8372-4B80A71CB6BD}"/>
              </c:ext>
            </c:extLst>
          </c:dPt>
          <c:dPt>
            <c:idx val="2"/>
            <c:bubble3D val="0"/>
            <c:spPr>
              <a:solidFill>
                <a:srgbClr val="EBC1FF"/>
              </a:solidFill>
            </c:spPr>
            <c:extLst>
              <c:ext xmlns:c16="http://schemas.microsoft.com/office/drawing/2014/chart" uri="{C3380CC4-5D6E-409C-BE32-E72D297353CC}">
                <c16:uniqueId val="{00000005-A472-48C8-8372-4B80A71CB6BD}"/>
              </c:ext>
            </c:extLst>
          </c:dPt>
          <c:dPt>
            <c:idx val="3"/>
            <c:bubble3D val="0"/>
            <c:spPr>
              <a:solidFill>
                <a:srgbClr val="B7B7B7"/>
              </a:solidFill>
            </c:spPr>
            <c:extLst>
              <c:ext xmlns:c16="http://schemas.microsoft.com/office/drawing/2014/chart" uri="{C3380CC4-5D6E-409C-BE32-E72D297353CC}">
                <c16:uniqueId val="{00000007-A472-48C8-8372-4B80A71CB6BD}"/>
              </c:ext>
            </c:extLst>
          </c:dPt>
          <c:dPt>
            <c:idx val="4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9-A472-48C8-8372-4B80A71CB6BD}"/>
              </c:ext>
            </c:extLst>
          </c:dPt>
          <c:dPt>
            <c:idx val="5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B-A472-48C8-8372-4B80A71CB6BD}"/>
              </c:ext>
            </c:extLst>
          </c:dPt>
          <c:dPt>
            <c:idx val="6"/>
            <c:bubble3D val="0"/>
            <c:spPr>
              <a:solidFill>
                <a:srgbClr val="7BAAF7"/>
              </a:solidFill>
            </c:spPr>
            <c:extLst>
              <c:ext xmlns:c16="http://schemas.microsoft.com/office/drawing/2014/chart" uri="{C3380CC4-5D6E-409C-BE32-E72D297353CC}">
                <c16:uniqueId val="{0000000D-A472-48C8-8372-4B80A71CB6BD}"/>
              </c:ext>
            </c:extLst>
          </c:dPt>
          <c:dPt>
            <c:idx val="7"/>
            <c:bubble3D val="0"/>
            <c:spPr>
              <a:solidFill>
                <a:srgbClr val="EFEFEF"/>
              </a:solidFill>
            </c:spPr>
            <c:extLst>
              <c:ext xmlns:c16="http://schemas.microsoft.com/office/drawing/2014/chart" uri="{C3380CC4-5D6E-409C-BE32-E72D297353CC}">
                <c16:uniqueId val="{0000000F-A472-48C8-8372-4B80A71CB6BD}"/>
              </c:ext>
            </c:extLst>
          </c:dPt>
          <c:dPt>
            <c:idx val="8"/>
            <c:bubble3D val="0"/>
            <c:spPr>
              <a:solidFill>
                <a:srgbClr val="9DD8FF"/>
              </a:solidFill>
            </c:spPr>
            <c:extLst>
              <c:ext xmlns:c16="http://schemas.microsoft.com/office/drawing/2014/chart" uri="{C3380CC4-5D6E-409C-BE32-E72D297353CC}">
                <c16:uniqueId val="{00000011-A472-48C8-8372-4B80A71CB6B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472-48C8-8372-4B80A71CB6B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 lvl="0">
                    <a:defRPr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472-48C8-8372-4B80A71CB6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'!$D$8:$D$16</c:f>
              <c:strCache>
                <c:ptCount val="9"/>
                <c:pt idx="0">
                  <c:v>Commercial / Education / Entertainment </c:v>
                </c:pt>
                <c:pt idx="1">
                  <c:v>Industrial </c:v>
                </c:pt>
                <c:pt idx="2">
                  <c:v>Distribution Centers </c:v>
                </c:pt>
                <c:pt idx="3">
                  <c:v>Other </c:v>
                </c:pt>
                <c:pt idx="4">
                  <c:v>High Tech </c:v>
                </c:pt>
                <c:pt idx="5">
                  <c:v>Healthcare </c:v>
                </c:pt>
                <c:pt idx="6">
                  <c:v>Government / Infrastructure </c:v>
                </c:pt>
                <c:pt idx="7">
                  <c:v>Telecom / Utilities </c:v>
                </c:pt>
                <c:pt idx="8">
                  <c:v>Transmission </c:v>
                </c:pt>
              </c:strCache>
            </c:strRef>
          </c:cat>
          <c:val>
            <c:numRef>
              <c:f>'Charts '!$E$8:$E$16</c:f>
              <c:numCache>
                <c:formatCode>0%</c:formatCode>
                <c:ptCount val="9"/>
                <c:pt idx="0">
                  <c:v>0.25</c:v>
                </c:pt>
                <c:pt idx="1">
                  <c:v>0.15</c:v>
                </c:pt>
                <c:pt idx="2">
                  <c:v>0.11</c:v>
                </c:pt>
                <c:pt idx="3">
                  <c:v>0.1</c:v>
                </c:pt>
                <c:pt idx="4">
                  <c:v>0.06</c:v>
                </c:pt>
                <c:pt idx="5">
                  <c:v>0.09</c:v>
                </c:pt>
                <c:pt idx="6">
                  <c:v>7.0000000000000007E-2</c:v>
                </c:pt>
                <c:pt idx="7">
                  <c:v>0.12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472-48C8-8372-4B80A71C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Chubb Historic Revenue </c:v>
          </c:tx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'Charts '!$A$60:$A$65</c:f>
              <c:numCache>
                <c:formatCode>General</c:formatCode>
                <c:ptCount val="6"/>
                <c:pt idx="0">
                  <c:v>2002</c:v>
                </c:pt>
                <c:pt idx="1">
                  <c:v>2004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'Charts '!$B$60:$B$65</c:f>
              <c:numCache>
                <c:formatCode>General</c:formatCode>
                <c:ptCount val="6"/>
                <c:pt idx="0">
                  <c:v>2500</c:v>
                </c:pt>
                <c:pt idx="1">
                  <c:v>2800</c:v>
                </c:pt>
                <c:pt idx="2">
                  <c:v>2600</c:v>
                </c:pt>
                <c:pt idx="3">
                  <c:v>2400</c:v>
                </c:pt>
                <c:pt idx="4">
                  <c:v>2000</c:v>
                </c:pt>
                <c:pt idx="5">
                  <c:v>2200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ADB-477D-8841-ED28659F8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43242"/>
        <c:axId val="1992594450"/>
      </c:barChart>
      <c:lineChart>
        <c:grouping val="standard"/>
        <c:varyColors val="0"/>
        <c:ser>
          <c:idx val="1"/>
          <c:order val="1"/>
          <c:tx>
            <c:strRef>
              <c:f>'Charts '!$C$59</c:f>
              <c:strCache>
                <c:ptCount val="1"/>
                <c:pt idx="0">
                  <c:v>Chubb Margins </c:v>
                </c:pt>
              </c:strCache>
            </c:strRef>
          </c:tx>
          <c:spPr>
            <a:ln cmpd="sng">
              <a:solidFill>
                <a:srgbClr val="9900FF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'Charts '!$A$60:$A$65</c:f>
              <c:numCache>
                <c:formatCode>General</c:formatCode>
                <c:ptCount val="6"/>
                <c:pt idx="0">
                  <c:v>2002</c:v>
                </c:pt>
                <c:pt idx="1">
                  <c:v>2004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'Charts '!$C$60:$C$65</c:f>
              <c:numCache>
                <c:formatCode>0%</c:formatCode>
                <c:ptCount val="6"/>
                <c:pt idx="1">
                  <c:v>0.05</c:v>
                </c:pt>
                <c:pt idx="2">
                  <c:v>0.1</c:v>
                </c:pt>
                <c:pt idx="3">
                  <c:v>0.1</c:v>
                </c:pt>
                <c:pt idx="4">
                  <c:v>0.09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DB-477D-8841-ED28659F8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087498"/>
        <c:axId val="533894884"/>
      </c:lineChart>
      <c:catAx>
        <c:axId val="1982432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2594450"/>
        <c:crosses val="autoZero"/>
        <c:auto val="1"/>
        <c:lblAlgn val="ctr"/>
        <c:lblOffset val="100"/>
        <c:noMultiLvlLbl val="1"/>
      </c:catAx>
      <c:valAx>
        <c:axId val="19925944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600" b="1">
                    <a:solidFill>
                      <a:srgbClr val="000000"/>
                    </a:solidFill>
                    <a:latin typeface="+mn-lt"/>
                  </a:rPr>
                  <a:t>Chubb Revenue ($mmn)</a:t>
                </a:r>
              </a:p>
            </c:rich>
          </c:tx>
          <c:overlay val="0"/>
        </c:title>
        <c:numFmt formatCode="\$#,##0_);\(\$#,##0\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8243242"/>
        <c:crosses val="autoZero"/>
        <c:crossBetween val="between"/>
      </c:valAx>
      <c:catAx>
        <c:axId val="157108749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894884"/>
        <c:crosses val="autoZero"/>
        <c:auto val="1"/>
        <c:lblAlgn val="ctr"/>
        <c:lblOffset val="100"/>
        <c:noMultiLvlLbl val="1"/>
      </c:catAx>
      <c:valAx>
        <c:axId val="533894884"/>
        <c:scaling>
          <c:orientation val="minMax"/>
          <c:max val="0.2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600" b="1">
                    <a:solidFill>
                      <a:srgbClr val="000000"/>
                    </a:solidFill>
                    <a:latin typeface="+mn-lt"/>
                  </a:rPr>
                  <a:t>Operating Margin (%)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108749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b="0">
                <a:solidFill>
                  <a:srgbClr val="000000"/>
                </a:solidFill>
                <a:latin typeface="+mn-lt"/>
              </a:rPr>
              <a:t>Revenue by Product/Service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900FF"/>
              </a:solidFill>
            </c:spPr>
            <c:extLst>
              <c:ext xmlns:c16="http://schemas.microsoft.com/office/drawing/2014/chart" uri="{C3380CC4-5D6E-409C-BE32-E72D297353CC}">
                <c16:uniqueId val="{00000001-EDE2-4805-8D01-E46A121CD40F}"/>
              </c:ext>
            </c:extLst>
          </c:dPt>
          <c:dPt>
            <c:idx val="1"/>
            <c:bubble3D val="0"/>
            <c:spPr>
              <a:solidFill>
                <a:srgbClr val="EBC1FF"/>
              </a:solidFill>
            </c:spPr>
            <c:extLst>
              <c:ext xmlns:c16="http://schemas.microsoft.com/office/drawing/2014/chart" uri="{C3380CC4-5D6E-409C-BE32-E72D297353CC}">
                <c16:uniqueId val="{00000003-EDE2-4805-8D01-E46A121CD40F}"/>
              </c:ext>
            </c:extLst>
          </c:dPt>
          <c:dPt>
            <c:idx val="2"/>
            <c:bubble3D val="0"/>
            <c:spPr>
              <a:solidFill>
                <a:srgbClr val="B7B7B7"/>
              </a:solidFill>
            </c:spPr>
            <c:extLst>
              <c:ext xmlns:c16="http://schemas.microsoft.com/office/drawing/2014/chart" uri="{C3380CC4-5D6E-409C-BE32-E72D297353CC}">
                <c16:uniqueId val="{00000005-EDE2-4805-8D01-E46A121CD40F}"/>
              </c:ext>
            </c:extLst>
          </c:dPt>
          <c:dPt>
            <c:idx val="3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7-EDE2-4805-8D01-E46A121CD40F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b="1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DE2-4805-8D01-E46A121CD40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lvl="0"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DE2-4805-8D01-E46A121CD40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 lvl="0"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DE2-4805-8D01-E46A121CD40F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 lvl="0"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DE2-4805-8D01-E46A121CD4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'!$A$68:$A$71</c:f>
              <c:strCache>
                <c:ptCount val="4"/>
                <c:pt idx="0">
                  <c:v>Fire Detection and &amp; Alarms </c:v>
                </c:pt>
                <c:pt idx="1">
                  <c:v>Electronic Security </c:v>
                </c:pt>
                <c:pt idx="2">
                  <c:v>Monitoring </c:v>
                </c:pt>
                <c:pt idx="3">
                  <c:v>Portable Fire Extinguishers </c:v>
                </c:pt>
              </c:strCache>
            </c:strRef>
          </c:cat>
          <c:val>
            <c:numRef>
              <c:f>'Charts '!$B$68:$B$71</c:f>
              <c:numCache>
                <c:formatCode>0%</c:formatCode>
                <c:ptCount val="4"/>
                <c:pt idx="0">
                  <c:v>0.39</c:v>
                </c:pt>
                <c:pt idx="1">
                  <c:v>0.36</c:v>
                </c:pt>
                <c:pt idx="2">
                  <c:v>0.1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E2-4805-8D01-E46A121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'Charts '!$I$67</c:f>
              <c:strCache>
                <c:ptCount val="1"/>
                <c:pt idx="0">
                  <c:v>Total </c:v>
                </c:pt>
              </c:strCache>
            </c:strRef>
          </c:tx>
          <c:dPt>
            <c:idx val="0"/>
            <c:bubble3D val="0"/>
            <c:spPr>
              <a:solidFill>
                <a:srgbClr val="B7B7B7"/>
              </a:solidFill>
            </c:spPr>
            <c:extLst>
              <c:ext xmlns:c16="http://schemas.microsoft.com/office/drawing/2014/chart" uri="{C3380CC4-5D6E-409C-BE32-E72D297353CC}">
                <c16:uniqueId val="{00000001-A7BC-4EA9-BD2E-9B3A24088727}"/>
              </c:ext>
            </c:extLst>
          </c:dPt>
          <c:dPt>
            <c:idx val="1"/>
            <c:bubble3D val="0"/>
            <c:spPr>
              <a:solidFill>
                <a:srgbClr val="9900FF"/>
              </a:solidFill>
            </c:spPr>
            <c:extLst>
              <c:ext xmlns:c16="http://schemas.microsoft.com/office/drawing/2014/chart" uri="{C3380CC4-5D6E-409C-BE32-E72D297353CC}">
                <c16:uniqueId val="{00000003-A7BC-4EA9-BD2E-9B3A24088727}"/>
              </c:ext>
            </c:extLst>
          </c:dPt>
          <c:cat>
            <c:strRef>
              <c:f>'Charts '!$H$68:$H$71</c:f>
              <c:strCache>
                <c:ptCount val="2"/>
                <c:pt idx="0">
                  <c:v>Service </c:v>
                </c:pt>
                <c:pt idx="1">
                  <c:v>Installation </c:v>
                </c:pt>
              </c:strCache>
            </c:strRef>
          </c:cat>
          <c:val>
            <c:numRef>
              <c:f>'Charts '!$I$68:$I$69</c:f>
              <c:numCache>
                <c:formatCode>0%</c:formatCode>
                <c:ptCount val="2"/>
                <c:pt idx="0">
                  <c:v>0.37</c:v>
                </c:pt>
                <c:pt idx="1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BC-4EA9-BD2E-9B3A24088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D9D9D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2D-46DE-A5E2-C7777FF6FF9A}"/>
              </c:ext>
            </c:extLst>
          </c:dPt>
          <c:dPt>
            <c:idx val="1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2D-46DE-A5E2-C7777FF6FF9A}"/>
              </c:ext>
            </c:extLst>
          </c:dPt>
          <c:dPt>
            <c:idx val="2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2D-46DE-A5E2-C7777FF6FF9A}"/>
              </c:ext>
            </c:extLst>
          </c:dPt>
          <c:dPt>
            <c:idx val="3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2D-46DE-A5E2-C7777FF6FF9A}"/>
              </c:ext>
            </c:extLst>
          </c:dPt>
          <c:cat>
            <c:strRef>
              <c:f>'Charts '!$J$95:$M$95</c:f>
              <c:strCache>
                <c:ptCount val="3"/>
                <c:pt idx="0">
                  <c:v>Chubb </c:v>
                </c:pt>
                <c:pt idx="2">
                  <c:v>APG </c:v>
                </c:pt>
              </c:strCache>
            </c:strRef>
          </c:cat>
          <c:val>
            <c:numRef>
              <c:f>'Charts '!$J$96:$M$96</c:f>
              <c:numCache>
                <c:formatCode>"$"#,##0.0</c:formatCode>
                <c:ptCount val="4"/>
                <c:pt idx="0">
                  <c:v>183.33333333333334</c:v>
                </c:pt>
                <c:pt idx="2">
                  <c:v>296.24060150375936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12D-46DE-A5E2-C7777FF6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252247"/>
        <c:axId val="498977919"/>
      </c:barChart>
      <c:catAx>
        <c:axId val="1578252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98977919"/>
        <c:crosses val="autoZero"/>
        <c:auto val="1"/>
        <c:lblAlgn val="ctr"/>
        <c:lblOffset val="100"/>
        <c:noMultiLvlLbl val="1"/>
      </c:catAx>
      <c:valAx>
        <c:axId val="4989779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Revenue Per Employee ($000s)</a:t>
                </a:r>
              </a:p>
            </c:rich>
          </c:tx>
          <c:overlay val="0"/>
        </c:title>
        <c:numFmt formatCode="\$#,##0_);\(\$#,##0\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825224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D9D9D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DB-4F8F-BEDA-F148CF92A608}"/>
              </c:ext>
            </c:extLst>
          </c:dPt>
          <c:dPt>
            <c:idx val="1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DB-4F8F-BEDA-F148CF92A608}"/>
              </c:ext>
            </c:extLst>
          </c:dPt>
          <c:dPt>
            <c:idx val="2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DB-4F8F-BEDA-F148CF92A608}"/>
              </c:ext>
            </c:extLst>
          </c:dPt>
          <c:dPt>
            <c:idx val="3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DB-4F8F-BEDA-F148CF92A608}"/>
              </c:ext>
            </c:extLst>
          </c:dPt>
          <c:cat>
            <c:strRef>
              <c:f>'Charts '!$N$95:$R$95</c:f>
              <c:strCache>
                <c:ptCount val="3"/>
                <c:pt idx="0">
                  <c:v>Chubb</c:v>
                </c:pt>
                <c:pt idx="2">
                  <c:v>APG </c:v>
                </c:pt>
              </c:strCache>
            </c:strRef>
          </c:cat>
          <c:val>
            <c:numRef>
              <c:f>'Charts '!$N$96:$R$96</c:f>
              <c:numCache>
                <c:formatCode>General</c:formatCode>
                <c:ptCount val="5"/>
                <c:pt idx="0">
                  <c:v>17.600000000000001</c:v>
                </c:pt>
                <c:pt idx="2" formatCode="&quot;$&quot;#,##0">
                  <c:v>24.661654135338345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6BDB-4F8F-BEDA-F148CF92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887102"/>
        <c:axId val="1802647060"/>
      </c:barChart>
      <c:catAx>
        <c:axId val="16658871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02647060"/>
        <c:crosses val="autoZero"/>
        <c:auto val="1"/>
        <c:lblAlgn val="ctr"/>
        <c:lblOffset val="100"/>
        <c:noMultiLvlLbl val="1"/>
      </c:catAx>
      <c:valAx>
        <c:axId val="18026470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EBITDA Per Employee ($000s)</a:t>
                </a:r>
              </a:p>
            </c:rich>
          </c:tx>
          <c:overlay val="0"/>
        </c:title>
        <c:numFmt formatCode="\$#,##0_);\(\$#,##0\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58871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'Charts '!$B$122</c:f>
              <c:strCache>
                <c:ptCount val="1"/>
                <c:pt idx="0">
                  <c:v>Gross M&amp;A Spend</c:v>
                </c:pt>
              </c:strCache>
            </c:strRef>
          </c:tx>
          <c:spPr>
            <a:solidFill>
              <a:srgbClr val="D9D9D9"/>
            </a:solidFill>
            <a:ln cmpd="sng">
              <a:solidFill>
                <a:srgbClr val="D9D9D9">
                  <a:alpha val="100000"/>
                </a:srgbClr>
              </a:solidFill>
            </a:ln>
          </c:spPr>
          <c:invertIfNegative val="1"/>
          <c:cat>
            <c:numRef>
              <c:f>'Charts '!$A$123:$A$133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'Charts '!$B$123:$B$133</c:f>
              <c:numCache>
                <c:formatCode>"$"#,##0</c:formatCode>
                <c:ptCount val="11"/>
                <c:pt idx="0">
                  <c:v>63</c:v>
                </c:pt>
                <c:pt idx="1">
                  <c:v>234</c:v>
                </c:pt>
                <c:pt idx="2">
                  <c:v>6</c:v>
                </c:pt>
                <c:pt idx="3">
                  <c:v>319</c:v>
                </c:pt>
                <c:pt idx="4">
                  <c:v>86</c:v>
                </c:pt>
                <c:pt idx="5">
                  <c:v>2839</c:v>
                </c:pt>
                <c:pt idx="6" formatCode="General">
                  <c:v>137</c:v>
                </c:pt>
                <c:pt idx="7" formatCode="General">
                  <c:v>246.8</c:v>
                </c:pt>
                <c:pt idx="8" formatCode="General">
                  <c:v>309</c:v>
                </c:pt>
                <c:pt idx="9" formatCode="General">
                  <c:v>464</c:v>
                </c:pt>
                <c:pt idx="10" formatCode="General">
                  <c:v>524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D9D9D9">
                        <a:alpha val="100000"/>
                      </a:srgbClr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AC0-4904-9A9D-285CB3B47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743892"/>
        <c:axId val="475785926"/>
      </c:barChart>
      <c:lineChart>
        <c:grouping val="standard"/>
        <c:varyColors val="0"/>
        <c:ser>
          <c:idx val="1"/>
          <c:order val="1"/>
          <c:tx>
            <c:strRef>
              <c:f>'Charts '!$D$122</c:f>
              <c:strCache>
                <c:ptCount val="1"/>
                <c:pt idx="0">
                  <c:v>M&amp;A as a % of Revenue </c:v>
                </c:pt>
              </c:strCache>
            </c:strRef>
          </c:tx>
          <c:spPr>
            <a:ln cmpd="sng">
              <a:solidFill>
                <a:srgbClr val="9900FF">
                  <a:alpha val="100000"/>
                </a:srgbClr>
              </a:solidFill>
            </a:ln>
          </c:spPr>
          <c:marker>
            <c:symbol val="none"/>
          </c:marker>
          <c:cat>
            <c:numRef>
              <c:f>'Charts '!$A$123:$A$133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'Charts '!$D$123:$D$133</c:f>
              <c:numCache>
                <c:formatCode>0.00%</c:formatCode>
                <c:ptCount val="11"/>
                <c:pt idx="0">
                  <c:v>2.0682862770847011E-2</c:v>
                </c:pt>
                <c:pt idx="1">
                  <c:v>6.2768240343347645E-2</c:v>
                </c:pt>
                <c:pt idx="2">
                  <c:v>1.4662756598240469E-3</c:v>
                </c:pt>
                <c:pt idx="3">
                  <c:v>8.8932255366601612E-2</c:v>
                </c:pt>
                <c:pt idx="4">
                  <c:v>2.1827411167512689E-2</c:v>
                </c:pt>
                <c:pt idx="5">
                  <c:v>0.43290637389448</c:v>
                </c:pt>
                <c:pt idx="6">
                  <c:v>2.0023384975153463E-2</c:v>
                </c:pt>
                <c:pt idx="7">
                  <c:v>3.3863885839736554E-2</c:v>
                </c:pt>
                <c:pt idx="8">
                  <c:v>4.0250097694411881E-2</c:v>
                </c:pt>
                <c:pt idx="9">
                  <c:v>5.7383131338115262E-2</c:v>
                </c:pt>
                <c:pt idx="10">
                  <c:v>6.1668824290926211E-2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0-4904-9A9D-285CB3B47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24813"/>
        <c:axId val="1385978627"/>
      </c:lineChart>
      <c:catAx>
        <c:axId val="21407438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5785926"/>
        <c:crosses val="autoZero"/>
        <c:auto val="1"/>
        <c:lblAlgn val="ctr"/>
        <c:lblOffset val="100"/>
        <c:noMultiLvlLbl val="1"/>
      </c:catAx>
      <c:valAx>
        <c:axId val="4757859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Gross M&amp;A Spend ($m)</a:t>
                </a:r>
              </a:p>
            </c:rich>
          </c:tx>
          <c:overlay val="0"/>
        </c:title>
        <c:numFmt formatCode="\$#,##0_);[Red]\(\$#,##0\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40743892"/>
        <c:crosses val="autoZero"/>
        <c:crossBetween val="between"/>
      </c:valAx>
      <c:catAx>
        <c:axId val="32112481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5978627"/>
        <c:crosses val="autoZero"/>
        <c:auto val="1"/>
        <c:lblAlgn val="ctr"/>
        <c:lblOffset val="100"/>
        <c:noMultiLvlLbl val="1"/>
      </c:catAx>
      <c:valAx>
        <c:axId val="1385978627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M&amp;A as a % of Rev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21124813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D9D9D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rgbClr val="D9D9D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1CE-408D-A27A-92CCFF768836}"/>
              </c:ext>
            </c:extLst>
          </c:dPt>
          <c:dPt>
            <c:idx val="6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1CE-408D-A27A-92CCFF768836}"/>
              </c:ext>
            </c:extLst>
          </c:dPt>
          <c:dPt>
            <c:idx val="7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1CE-408D-A27A-92CCFF768836}"/>
              </c:ext>
            </c:extLst>
          </c:dPt>
          <c:dPt>
            <c:idx val="8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1CE-408D-A27A-92CCFF768836}"/>
              </c:ext>
            </c:extLst>
          </c:dPt>
          <c:dPt>
            <c:idx val="9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1CE-408D-A27A-92CCFF768836}"/>
              </c:ext>
            </c:extLst>
          </c:dPt>
          <c:dPt>
            <c:idx val="10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1CE-408D-A27A-92CCFF768836}"/>
              </c:ext>
            </c:extLst>
          </c:dPt>
          <c:cat>
            <c:numRef>
              <c:f>'Charts '!$A$143:$A$153</c:f>
              <c:numCache>
                <c:formatCode>General</c:formatCode>
                <c:ptCount val="1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</c:numCache>
            </c:numRef>
          </c:cat>
          <c:val>
            <c:numRef>
              <c:f>'Charts '!$B$143:$B$153</c:f>
              <c:numCache>
                <c:formatCode>General</c:formatCode>
                <c:ptCount val="11"/>
                <c:pt idx="0">
                  <c:v>3046</c:v>
                </c:pt>
                <c:pt idx="1">
                  <c:v>3728</c:v>
                </c:pt>
                <c:pt idx="2">
                  <c:v>4092</c:v>
                </c:pt>
                <c:pt idx="3">
                  <c:v>3587</c:v>
                </c:pt>
                <c:pt idx="4">
                  <c:v>3940</c:v>
                </c:pt>
                <c:pt idx="5">
                  <c:v>6558</c:v>
                </c:pt>
                <c:pt idx="6">
                  <c:v>6842</c:v>
                </c:pt>
                <c:pt idx="7">
                  <c:v>7242</c:v>
                </c:pt>
                <c:pt idx="8">
                  <c:v>7614</c:v>
                </c:pt>
                <c:pt idx="9">
                  <c:v>8084</c:v>
                </c:pt>
                <c:pt idx="10">
                  <c:v>8497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51CE-408D-A27A-92CCFF768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22638"/>
        <c:axId val="2092385623"/>
      </c:barChart>
      <c:catAx>
        <c:axId val="9375226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92385623"/>
        <c:crosses val="autoZero"/>
        <c:auto val="1"/>
        <c:lblAlgn val="ctr"/>
        <c:lblOffset val="100"/>
        <c:noMultiLvlLbl val="1"/>
      </c:catAx>
      <c:valAx>
        <c:axId val="20923856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sz="1400" b="1">
                    <a:solidFill>
                      <a:srgbClr val="000000"/>
                    </a:solidFill>
                    <a:latin typeface="+mn-lt"/>
                  </a:rPr>
                  <a:t>APG-Wide Revenue ($m)</a:t>
                </a:r>
              </a:p>
            </c:rich>
          </c:tx>
          <c:overlay val="0"/>
        </c:title>
        <c:numFmt formatCode="\$#,##0_);[Red]\(\$#,##0\)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3752263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</xdr:colOff>
      <xdr:row>37</xdr:row>
      <xdr:rowOff>190500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1066800</xdr:colOff>
      <xdr:row>8</xdr:row>
      <xdr:rowOff>133350</xdr:rowOff>
    </xdr:from>
    <xdr:ext cx="5715000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12</xdr:col>
      <xdr:colOff>657225</xdr:colOff>
      <xdr:row>37</xdr:row>
      <xdr:rowOff>190500</xdr:rowOff>
    </xdr:from>
    <xdr:ext cx="571500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142875</xdr:colOff>
      <xdr:row>74</xdr:row>
      <xdr:rowOff>47625</xdr:rowOff>
    </xdr:from>
    <xdr:ext cx="5715000" cy="35337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4</xdr:col>
      <xdr:colOff>533400</xdr:colOff>
      <xdr:row>74</xdr:row>
      <xdr:rowOff>47625</xdr:rowOff>
    </xdr:from>
    <xdr:ext cx="5715000" cy="35337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142875</xdr:colOff>
      <xdr:row>98</xdr:row>
      <xdr:rowOff>190500</xdr:rowOff>
    </xdr:from>
    <xdr:ext cx="5715000" cy="35337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533400</xdr:colOff>
      <xdr:row>98</xdr:row>
      <xdr:rowOff>190500</xdr:rowOff>
    </xdr:from>
    <xdr:ext cx="5715000" cy="35337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4</xdr:col>
      <xdr:colOff>152400</xdr:colOff>
      <xdr:row>118</xdr:row>
      <xdr:rowOff>47625</xdr:rowOff>
    </xdr:from>
    <xdr:ext cx="5715000" cy="35337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0</xdr:col>
      <xdr:colOff>609600</xdr:colOff>
      <xdr:row>154</xdr:row>
      <xdr:rowOff>161925</xdr:rowOff>
    </xdr:from>
    <xdr:ext cx="5715000" cy="35337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5</xdr:col>
      <xdr:colOff>371475</xdr:colOff>
      <xdr:row>154</xdr:row>
      <xdr:rowOff>161925</xdr:rowOff>
    </xdr:from>
    <xdr:ext cx="5715000" cy="3533775"/>
    <xdr:graphicFrame macro="">
      <xdr:nvGraphicFramePr>
        <xdr:cNvPr id="11" name="Chart 10" title="Chart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3</xdr:col>
      <xdr:colOff>571500</xdr:colOff>
      <xdr:row>20</xdr:row>
      <xdr:rowOff>161925</xdr:rowOff>
    </xdr:from>
    <xdr:ext cx="4143375" cy="2562225"/>
    <xdr:graphicFrame macro="">
      <xdr:nvGraphicFramePr>
        <xdr:cNvPr id="12" name="Chart 11" title="Chart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35"/>
  <sheetViews>
    <sheetView showGridLines="0" tabSelected="1" topLeftCell="A44" zoomScale="73" workbookViewId="0">
      <selection activeCell="G86" sqref="G86"/>
    </sheetView>
  </sheetViews>
  <sheetFormatPr defaultColWidth="12.6640625" defaultRowHeight="15.75" customHeight="1"/>
  <cols>
    <col min="1" max="1" width="20.77734375" customWidth="1"/>
    <col min="2" max="2" width="24" customWidth="1"/>
    <col min="3" max="3" width="17.21875" customWidth="1"/>
    <col min="4" max="4" width="15.33203125" customWidth="1"/>
    <col min="5" max="5" width="13.88671875" customWidth="1"/>
    <col min="6" max="6" width="11.44140625" customWidth="1"/>
  </cols>
  <sheetData>
    <row r="1" spans="1:30" ht="13.2">
      <c r="K1" s="1"/>
    </row>
    <row r="2" spans="1:30" ht="13.2">
      <c r="B2" s="2" t="s">
        <v>0</v>
      </c>
      <c r="C2" s="3">
        <f ca="1">IFERROR(__xludf.DUMMYFUNCTION("GOOGLEFINANCE(B2)"),20.91)</f>
        <v>20.91</v>
      </c>
      <c r="D2" s="3"/>
      <c r="E2" s="3"/>
      <c r="F2" s="3"/>
      <c r="K2" s="1">
        <v>1</v>
      </c>
      <c r="L2" s="4">
        <f t="shared" ref="L2:O2" si="0">K2+1</f>
        <v>2</v>
      </c>
      <c r="M2" s="4">
        <f t="shared" si="0"/>
        <v>3</v>
      </c>
      <c r="N2" s="4">
        <f t="shared" si="0"/>
        <v>4</v>
      </c>
      <c r="O2" s="4">
        <f t="shared" si="0"/>
        <v>5</v>
      </c>
    </row>
    <row r="3" spans="1:30" ht="13.2">
      <c r="B3" s="5" t="s">
        <v>1</v>
      </c>
      <c r="C3" s="5">
        <v>2015</v>
      </c>
      <c r="D3" s="5">
        <v>2016</v>
      </c>
      <c r="E3" s="5">
        <v>2017</v>
      </c>
      <c r="F3" s="6">
        <v>2018</v>
      </c>
      <c r="G3" s="6">
        <f t="shared" ref="G3:O3" si="1">F3+1</f>
        <v>2019</v>
      </c>
      <c r="H3" s="6">
        <f t="shared" si="1"/>
        <v>2020</v>
      </c>
      <c r="I3" s="6">
        <f t="shared" si="1"/>
        <v>2021</v>
      </c>
      <c r="J3" s="6">
        <f t="shared" si="1"/>
        <v>2022</v>
      </c>
      <c r="K3" s="7">
        <f t="shared" si="1"/>
        <v>2023</v>
      </c>
      <c r="L3" s="8">
        <f t="shared" si="1"/>
        <v>2024</v>
      </c>
      <c r="M3" s="8">
        <f t="shared" si="1"/>
        <v>2025</v>
      </c>
      <c r="N3" s="8">
        <f t="shared" si="1"/>
        <v>2026</v>
      </c>
      <c r="O3" s="8">
        <f t="shared" si="1"/>
        <v>2027</v>
      </c>
    </row>
    <row r="4" spans="1:30" ht="13.2">
      <c r="A4" s="9"/>
      <c r="B4" s="9" t="s">
        <v>2</v>
      </c>
      <c r="C4" s="10"/>
      <c r="D4" s="10"/>
      <c r="E4" s="10">
        <v>1601</v>
      </c>
      <c r="F4" s="10">
        <v>1705</v>
      </c>
      <c r="G4" s="10">
        <v>1777</v>
      </c>
      <c r="H4" s="10">
        <v>1639</v>
      </c>
      <c r="I4" s="10">
        <v>2080</v>
      </c>
      <c r="J4" s="10">
        <v>4575</v>
      </c>
      <c r="K4" s="11">
        <f t="shared" ref="K4:O4" si="2">J4*(1+K5)</f>
        <v>4826.625</v>
      </c>
      <c r="L4" s="12">
        <f t="shared" si="2"/>
        <v>5092.0893749999996</v>
      </c>
      <c r="M4" s="12">
        <f t="shared" si="2"/>
        <v>5372.1542906249988</v>
      </c>
      <c r="N4" s="12">
        <f t="shared" si="2"/>
        <v>5667.6227766093734</v>
      </c>
      <c r="O4" s="12">
        <f t="shared" si="2"/>
        <v>5951.0039154398428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>
      <c r="A5" s="13"/>
      <c r="B5" s="13" t="s">
        <v>3</v>
      </c>
      <c r="C5" s="14"/>
      <c r="D5" s="14"/>
      <c r="E5" s="14"/>
      <c r="F5" s="15">
        <f t="shared" ref="F5:J5" si="3">F4/E4-1</f>
        <v>6.4959400374765774E-2</v>
      </c>
      <c r="G5" s="15">
        <f t="shared" si="3"/>
        <v>4.2228739002932558E-2</v>
      </c>
      <c r="H5" s="15">
        <f t="shared" si="3"/>
        <v>-7.7658975801913388E-2</v>
      </c>
      <c r="I5" s="15">
        <f t="shared" si="3"/>
        <v>0.26906650396583287</v>
      </c>
      <c r="J5" s="15">
        <f t="shared" si="3"/>
        <v>1.1995192307692308</v>
      </c>
      <c r="K5" s="16">
        <v>5.5E-2</v>
      </c>
      <c r="L5" s="17">
        <v>5.5E-2</v>
      </c>
      <c r="M5" s="17">
        <v>5.5E-2</v>
      </c>
      <c r="N5" s="17">
        <v>5.5E-2</v>
      </c>
      <c r="O5" s="17">
        <v>0.05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3.2">
      <c r="A6" s="9"/>
      <c r="B6" s="9" t="s">
        <v>4</v>
      </c>
      <c r="C6" s="10"/>
      <c r="D6" s="10"/>
      <c r="E6" s="10">
        <v>151</v>
      </c>
      <c r="F6" s="10">
        <v>178</v>
      </c>
      <c r="G6" s="10">
        <v>195</v>
      </c>
      <c r="H6" s="10">
        <v>8</v>
      </c>
      <c r="I6" s="10">
        <v>207</v>
      </c>
      <c r="J6" s="10">
        <v>256</v>
      </c>
      <c r="K6" s="18">
        <f t="shared" ref="K6:O6" si="4">K4*K7</f>
        <v>337.86375000000004</v>
      </c>
      <c r="L6" s="10">
        <f t="shared" si="4"/>
        <v>458.28804374999993</v>
      </c>
      <c r="M6" s="10">
        <f t="shared" si="4"/>
        <v>590.93697196874984</v>
      </c>
      <c r="N6" s="10">
        <f t="shared" si="4"/>
        <v>680.11473319312483</v>
      </c>
      <c r="O6" s="10">
        <f t="shared" si="4"/>
        <v>773.63050900717963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3.2">
      <c r="A7" s="19"/>
      <c r="B7" s="19" t="s">
        <v>5</v>
      </c>
      <c r="C7" s="15"/>
      <c r="D7" s="15"/>
      <c r="E7" s="15">
        <f t="shared" ref="E7:J7" si="5">E6/E4</f>
        <v>9.4316052467207992E-2</v>
      </c>
      <c r="F7" s="15">
        <f t="shared" si="5"/>
        <v>0.10439882697947214</v>
      </c>
      <c r="G7" s="15">
        <f t="shared" si="5"/>
        <v>0.10973550928531232</v>
      </c>
      <c r="H7" s="15">
        <f t="shared" si="5"/>
        <v>4.881025015253203E-3</v>
      </c>
      <c r="I7" s="15">
        <f t="shared" si="5"/>
        <v>9.9519230769230763E-2</v>
      </c>
      <c r="J7" s="15">
        <f t="shared" si="5"/>
        <v>5.5956284153005464E-2</v>
      </c>
      <c r="K7" s="16">
        <v>7.0000000000000007E-2</v>
      </c>
      <c r="L7" s="17">
        <v>0.09</v>
      </c>
      <c r="M7" s="17">
        <v>0.11</v>
      </c>
      <c r="N7" s="17">
        <v>0.12</v>
      </c>
      <c r="O7" s="17">
        <v>0.13</v>
      </c>
      <c r="P7" s="15"/>
      <c r="Q7" s="15"/>
      <c r="R7" s="2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3.2">
      <c r="A8" s="19"/>
      <c r="B8" s="19" t="s">
        <v>6</v>
      </c>
      <c r="C8" s="15"/>
      <c r="D8" s="15"/>
      <c r="E8" s="15"/>
      <c r="F8" s="15">
        <f t="shared" ref="F8:G8" si="6">(F6-E6)/(F4-E4)</f>
        <v>0.25961538461538464</v>
      </c>
      <c r="G8" s="15">
        <f t="shared" si="6"/>
        <v>0.2361111111111111</v>
      </c>
      <c r="H8" s="15">
        <f>(H6-G6)/(H4-G4)*-1</f>
        <v>-1.355072463768116</v>
      </c>
      <c r="I8" s="15">
        <f t="shared" ref="I8:J8" si="7">(I6-H6)/(I4-H4)</f>
        <v>0.4512471655328798</v>
      </c>
      <c r="J8" s="15">
        <f t="shared" si="7"/>
        <v>1.9639278557114229E-2</v>
      </c>
      <c r="K8" s="21">
        <f t="shared" ref="K8:O8" si="8">(K7-J7)/(K4-J4)</f>
        <v>5.5812084836540652E-5</v>
      </c>
      <c r="L8" s="15">
        <f t="shared" si="8"/>
        <v>7.5339675992306028E-5</v>
      </c>
      <c r="M8" s="15">
        <f t="shared" si="8"/>
        <v>7.1412015158584037E-5</v>
      </c>
      <c r="N8" s="15">
        <f t="shared" si="8"/>
        <v>3.3844556947196149E-5</v>
      </c>
      <c r="O8" s="15">
        <f t="shared" si="8"/>
        <v>3.5288163641626249E-5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3.2">
      <c r="A9" s="22"/>
      <c r="B9" s="22" t="s">
        <v>7</v>
      </c>
      <c r="C9" s="23"/>
      <c r="D9" s="23"/>
      <c r="E9" s="23">
        <v>12</v>
      </c>
      <c r="F9" s="23">
        <f>197-F6</f>
        <v>19</v>
      </c>
      <c r="G9" s="23">
        <v>33</v>
      </c>
      <c r="H9" s="23">
        <v>119</v>
      </c>
      <c r="I9" s="23">
        <v>74</v>
      </c>
      <c r="J9" s="23">
        <f>J75</f>
        <v>193</v>
      </c>
      <c r="K9" s="24">
        <f t="shared" ref="K9:O9" si="9">K10*K4</f>
        <v>193.065</v>
      </c>
      <c r="L9" s="23">
        <f t="shared" si="9"/>
        <v>203.68357499999999</v>
      </c>
      <c r="M9" s="23">
        <f t="shared" si="9"/>
        <v>214.88617162499995</v>
      </c>
      <c r="N9" s="23">
        <f t="shared" si="9"/>
        <v>226.70491106437495</v>
      </c>
      <c r="O9" s="23">
        <f t="shared" si="9"/>
        <v>238.04015661759371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3.2">
      <c r="A10" s="13"/>
      <c r="B10" s="13" t="s">
        <v>8</v>
      </c>
      <c r="C10" s="14"/>
      <c r="D10" s="14"/>
      <c r="E10" s="14">
        <f t="shared" ref="E10:J10" si="10">E9/E4</f>
        <v>7.4953154278575894E-3</v>
      </c>
      <c r="F10" s="14">
        <f t="shared" si="10"/>
        <v>1.1143695014662757E-2</v>
      </c>
      <c r="G10" s="14">
        <f t="shared" si="10"/>
        <v>1.8570624648283626E-2</v>
      </c>
      <c r="H10" s="14">
        <f t="shared" si="10"/>
        <v>7.2605247101891396E-2</v>
      </c>
      <c r="I10" s="14">
        <f t="shared" si="10"/>
        <v>3.5576923076923075E-2</v>
      </c>
      <c r="J10" s="25">
        <f t="shared" si="10"/>
        <v>4.2185792349726775E-2</v>
      </c>
      <c r="K10" s="26">
        <v>0.04</v>
      </c>
      <c r="L10" s="27">
        <v>0.04</v>
      </c>
      <c r="M10" s="27">
        <v>0.04</v>
      </c>
      <c r="N10" s="27">
        <v>0.04</v>
      </c>
      <c r="O10" s="27">
        <v>0.04</v>
      </c>
      <c r="P10" s="25"/>
      <c r="Q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3.2">
      <c r="A11" s="28"/>
      <c r="B11" s="22" t="s">
        <v>9</v>
      </c>
      <c r="C11" s="23"/>
      <c r="D11" s="23"/>
      <c r="E11" s="23">
        <v>6</v>
      </c>
      <c r="F11" s="23">
        <v>9</v>
      </c>
      <c r="G11" s="23">
        <v>5</v>
      </c>
      <c r="H11" s="23">
        <v>2</v>
      </c>
      <c r="I11" s="23">
        <v>6</v>
      </c>
      <c r="J11" s="23">
        <v>25</v>
      </c>
      <c r="K11" s="24">
        <f t="shared" ref="K11:O11" si="11">K12*K4</f>
        <v>24.133125</v>
      </c>
      <c r="L11" s="23">
        <f t="shared" si="11"/>
        <v>25.460446874999999</v>
      </c>
      <c r="M11" s="23">
        <f t="shared" si="11"/>
        <v>26.860771453124993</v>
      </c>
      <c r="N11" s="23">
        <f t="shared" si="11"/>
        <v>28.338113883046869</v>
      </c>
      <c r="O11" s="23">
        <f t="shared" si="11"/>
        <v>29.755019577199214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3.2">
      <c r="A12" s="13"/>
      <c r="B12" s="13" t="s">
        <v>8</v>
      </c>
      <c r="C12" s="14"/>
      <c r="D12" s="14"/>
      <c r="E12" s="14">
        <f t="shared" ref="E12:J12" si="12">E11/E4</f>
        <v>3.7476577139287947E-3</v>
      </c>
      <c r="F12" s="14">
        <f t="shared" si="12"/>
        <v>5.2785923753665689E-3</v>
      </c>
      <c r="G12" s="14">
        <f t="shared" si="12"/>
        <v>2.8137310073157004E-3</v>
      </c>
      <c r="H12" s="14">
        <f t="shared" si="12"/>
        <v>1.2202562538133007E-3</v>
      </c>
      <c r="I12" s="14">
        <f t="shared" si="12"/>
        <v>2.8846153846153848E-3</v>
      </c>
      <c r="J12" s="14">
        <f t="shared" si="12"/>
        <v>5.4644808743169399E-3</v>
      </c>
      <c r="K12" s="29">
        <v>5.0000000000000001E-3</v>
      </c>
      <c r="L12" s="25">
        <v>5.0000000000000001E-3</v>
      </c>
      <c r="M12" s="25">
        <v>5.0000000000000001E-3</v>
      </c>
      <c r="N12" s="25">
        <v>5.0000000000000001E-3</v>
      </c>
      <c r="O12" s="25">
        <v>5.0000000000000001E-3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3.2">
      <c r="A13" s="30"/>
      <c r="B13" s="30" t="s">
        <v>10</v>
      </c>
      <c r="C13" s="31"/>
      <c r="D13" s="31"/>
      <c r="E13" s="10">
        <f t="shared" ref="E13:O13" si="13">((E6*(1-0.21)+E9-E11))</f>
        <v>125.29000000000002</v>
      </c>
      <c r="F13" s="10">
        <f t="shared" si="13"/>
        <v>150.62</v>
      </c>
      <c r="G13" s="10">
        <f t="shared" si="13"/>
        <v>182.05</v>
      </c>
      <c r="H13" s="10">
        <f t="shared" si="13"/>
        <v>123.32</v>
      </c>
      <c r="I13" s="10">
        <f t="shared" si="13"/>
        <v>231.53</v>
      </c>
      <c r="J13" s="10">
        <f t="shared" si="13"/>
        <v>370.24</v>
      </c>
      <c r="K13" s="18">
        <f t="shared" si="13"/>
        <v>435.84423750000002</v>
      </c>
      <c r="L13" s="10">
        <f t="shared" si="13"/>
        <v>540.27068268749997</v>
      </c>
      <c r="M13" s="10">
        <f t="shared" si="13"/>
        <v>654.86560802718725</v>
      </c>
      <c r="N13" s="10">
        <f t="shared" si="13"/>
        <v>735.65743640389678</v>
      </c>
      <c r="O13" s="10">
        <f t="shared" si="13"/>
        <v>819.4532391560665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3.2">
      <c r="A14" s="32"/>
      <c r="B14" s="32" t="s">
        <v>11</v>
      </c>
      <c r="C14" s="33"/>
      <c r="D14" s="33"/>
      <c r="E14" s="33"/>
      <c r="F14" s="25">
        <f t="shared" ref="F14:O14" si="14">F13/E13-1</f>
        <v>0.20217096336499307</v>
      </c>
      <c r="G14" s="25">
        <f t="shared" si="14"/>
        <v>0.20867082724737762</v>
      </c>
      <c r="H14" s="25">
        <f t="shared" si="14"/>
        <v>-0.32260368030760789</v>
      </c>
      <c r="I14" s="25">
        <f t="shared" si="14"/>
        <v>0.87747324035030827</v>
      </c>
      <c r="J14" s="25">
        <f t="shared" si="14"/>
        <v>0.59910162829870872</v>
      </c>
      <c r="K14" s="29">
        <f t="shared" si="14"/>
        <v>0.17719381347234231</v>
      </c>
      <c r="L14" s="25">
        <f t="shared" si="14"/>
        <v>0.23959579180509394</v>
      </c>
      <c r="M14" s="25">
        <f t="shared" si="14"/>
        <v>0.21210650329877434</v>
      </c>
      <c r="N14" s="25">
        <f t="shared" si="14"/>
        <v>0.12337161607875347</v>
      </c>
      <c r="O14" s="25">
        <f t="shared" si="14"/>
        <v>0.11390600924499239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3.2">
      <c r="A15" s="19"/>
      <c r="B15" s="19" t="s">
        <v>12</v>
      </c>
      <c r="C15" s="15"/>
      <c r="D15" s="15"/>
      <c r="E15" s="15">
        <f t="shared" ref="E15:O15" si="15">E13/E4</f>
        <v>7.8257339163023118E-2</v>
      </c>
      <c r="F15" s="15">
        <f t="shared" si="15"/>
        <v>8.8340175953079178E-2</v>
      </c>
      <c r="G15" s="15">
        <f t="shared" si="15"/>
        <v>0.10244794597636467</v>
      </c>
      <c r="H15" s="15">
        <f t="shared" si="15"/>
        <v>7.5241000610128117E-2</v>
      </c>
      <c r="I15" s="15">
        <f t="shared" si="15"/>
        <v>0.11131249999999999</v>
      </c>
      <c r="J15" s="15">
        <f t="shared" si="15"/>
        <v>8.0926775956284155E-2</v>
      </c>
      <c r="K15" s="21">
        <f t="shared" si="15"/>
        <v>9.0300000000000005E-2</v>
      </c>
      <c r="L15" s="15">
        <f t="shared" si="15"/>
        <v>0.1061</v>
      </c>
      <c r="M15" s="15">
        <f t="shared" si="15"/>
        <v>0.12189999999999998</v>
      </c>
      <c r="N15" s="15">
        <f t="shared" si="15"/>
        <v>0.12980000000000003</v>
      </c>
      <c r="O15" s="15">
        <f t="shared" si="15"/>
        <v>0.13770000000000002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3.2">
      <c r="A16" s="19"/>
      <c r="B16" s="19" t="s">
        <v>13</v>
      </c>
      <c r="C16" s="15"/>
      <c r="D16" s="15"/>
      <c r="E16" s="15"/>
      <c r="F16" s="15">
        <f t="shared" ref="F16:O16" si="16">(F13-E13)/(F4-E4)</f>
        <v>0.24355769230769214</v>
      </c>
      <c r="G16" s="15">
        <f t="shared" si="16"/>
        <v>0.43652777777777785</v>
      </c>
      <c r="H16" s="15">
        <f t="shared" si="16"/>
        <v>0.42557971014492768</v>
      </c>
      <c r="I16" s="15">
        <f t="shared" si="16"/>
        <v>0.24537414965986395</v>
      </c>
      <c r="J16" s="15">
        <f t="shared" si="16"/>
        <v>5.5595190380761529E-2</v>
      </c>
      <c r="K16" s="21">
        <f t="shared" si="16"/>
        <v>0.26072225534028814</v>
      </c>
      <c r="L16" s="15">
        <f t="shared" si="16"/>
        <v>0.39337272727272771</v>
      </c>
      <c r="M16" s="15">
        <f t="shared" si="16"/>
        <v>0.40917272727272763</v>
      </c>
      <c r="N16" s="15">
        <f t="shared" si="16"/>
        <v>0.27343636363636448</v>
      </c>
      <c r="O16" s="15">
        <f t="shared" si="16"/>
        <v>0.29569999999999974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3.2">
      <c r="A17" s="30"/>
      <c r="B17" s="30"/>
      <c r="C17" s="31"/>
      <c r="D17" s="31"/>
      <c r="E17" s="31"/>
      <c r="F17" s="31"/>
      <c r="K17" s="1"/>
    </row>
    <row r="18" spans="1:30" ht="13.2">
      <c r="A18" s="9"/>
      <c r="B18" s="9" t="s">
        <v>14</v>
      </c>
      <c r="C18" s="10"/>
      <c r="D18" s="10"/>
      <c r="E18" s="10">
        <v>1501</v>
      </c>
      <c r="F18" s="10">
        <v>2082</v>
      </c>
      <c r="G18" s="10">
        <v>2330</v>
      </c>
      <c r="H18" s="10">
        <v>1964</v>
      </c>
      <c r="I18" s="10">
        <v>1930</v>
      </c>
      <c r="J18" s="10">
        <v>2030</v>
      </c>
      <c r="K18" s="18">
        <f t="shared" ref="K18:O18" si="17">J18*(1+K19)</f>
        <v>2111.2000000000003</v>
      </c>
      <c r="L18" s="10">
        <f t="shared" si="17"/>
        <v>2111.2000000000003</v>
      </c>
      <c r="M18" s="10">
        <f t="shared" si="17"/>
        <v>2195.6480000000001</v>
      </c>
      <c r="N18" s="10">
        <f t="shared" si="17"/>
        <v>2283.4739200000004</v>
      </c>
      <c r="O18" s="10">
        <f t="shared" si="17"/>
        <v>2374.8128768000006</v>
      </c>
      <c r="P18" s="3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3.2">
      <c r="A19" s="13"/>
      <c r="B19" s="13" t="s">
        <v>3</v>
      </c>
      <c r="C19" s="14"/>
      <c r="D19" s="14"/>
      <c r="E19" s="14"/>
      <c r="F19" s="14">
        <f t="shared" ref="F19:J19" si="18">F18/E18-1</f>
        <v>0.38707528314457029</v>
      </c>
      <c r="G19" s="15">
        <f t="shared" si="18"/>
        <v>0.11911623439000962</v>
      </c>
      <c r="H19" s="15">
        <f t="shared" si="18"/>
        <v>-0.15708154506437766</v>
      </c>
      <c r="I19" s="15">
        <f t="shared" si="18"/>
        <v>-1.731160896130346E-2</v>
      </c>
      <c r="J19" s="15">
        <f t="shared" si="18"/>
        <v>5.1813471502590636E-2</v>
      </c>
      <c r="K19" s="16">
        <v>0.04</v>
      </c>
      <c r="L19" s="17">
        <v>0</v>
      </c>
      <c r="M19" s="17">
        <v>0.04</v>
      </c>
      <c r="N19" s="17">
        <v>0.04</v>
      </c>
      <c r="O19" s="17">
        <v>0.04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3.2">
      <c r="A20" s="9"/>
      <c r="B20" s="9" t="s">
        <v>4</v>
      </c>
      <c r="C20" s="10"/>
      <c r="D20" s="10"/>
      <c r="E20" s="10">
        <v>61</v>
      </c>
      <c r="F20" s="10">
        <v>70</v>
      </c>
      <c r="G20" s="10">
        <v>74</v>
      </c>
      <c r="H20" s="10">
        <v>-56</v>
      </c>
      <c r="I20" s="10">
        <v>78</v>
      </c>
      <c r="J20" s="10">
        <v>97</v>
      </c>
      <c r="K20" s="18">
        <f t="shared" ref="K20:O20" si="19">K21*K18</f>
        <v>105.56000000000002</v>
      </c>
      <c r="L20" s="10">
        <f t="shared" si="19"/>
        <v>126.67200000000001</v>
      </c>
      <c r="M20" s="10">
        <f t="shared" si="19"/>
        <v>142.71712000000002</v>
      </c>
      <c r="N20" s="10">
        <f t="shared" si="19"/>
        <v>159.84317440000004</v>
      </c>
      <c r="O20" s="10">
        <f t="shared" si="19"/>
        <v>178.11096576000003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3.2">
      <c r="A21" s="19"/>
      <c r="B21" s="19" t="s">
        <v>5</v>
      </c>
      <c r="C21" s="15"/>
      <c r="D21" s="15"/>
      <c r="E21" s="15">
        <f t="shared" ref="E21:J21" si="20">E20/E18</f>
        <v>4.0639573617588277E-2</v>
      </c>
      <c r="F21" s="15">
        <f t="shared" si="20"/>
        <v>3.3621517771373677E-2</v>
      </c>
      <c r="G21" s="15">
        <f t="shared" si="20"/>
        <v>3.1759656652360517E-2</v>
      </c>
      <c r="H21" s="15">
        <f t="shared" si="20"/>
        <v>-2.8513238289205704E-2</v>
      </c>
      <c r="I21" s="15">
        <f t="shared" si="20"/>
        <v>4.0414507772020727E-2</v>
      </c>
      <c r="J21" s="15">
        <f t="shared" si="20"/>
        <v>4.7783251231527095E-2</v>
      </c>
      <c r="K21" s="16">
        <v>0.05</v>
      </c>
      <c r="L21" s="17">
        <v>0.06</v>
      </c>
      <c r="M21" s="17">
        <v>6.5000000000000002E-2</v>
      </c>
      <c r="N21" s="17">
        <v>7.0000000000000007E-2</v>
      </c>
      <c r="O21" s="17">
        <v>7.4999999999999997E-2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3.2">
      <c r="A22" s="19"/>
      <c r="B22" s="19" t="s">
        <v>6</v>
      </c>
      <c r="C22" s="15"/>
      <c r="D22" s="15"/>
      <c r="E22" s="15"/>
      <c r="F22" s="15">
        <f t="shared" ref="F22:G22" si="21">(F20-E20)/(F18-E18)</f>
        <v>1.549053356282272E-2</v>
      </c>
      <c r="G22" s="15">
        <f t="shared" si="21"/>
        <v>1.6129032258064516E-2</v>
      </c>
      <c r="H22" s="15">
        <f>(H20-G20)/(H18-G18)*-1</f>
        <v>-0.3551912568306011</v>
      </c>
      <c r="I22" s="15">
        <f t="shared" ref="I22:O22" si="22">(I20-H20)/(I18-H18)</f>
        <v>-3.9411764705882355</v>
      </c>
      <c r="J22" s="15">
        <f t="shared" si="22"/>
        <v>0.19</v>
      </c>
      <c r="K22" s="21">
        <f t="shared" si="22"/>
        <v>0.10541871921182251</v>
      </c>
      <c r="L22" s="15"/>
      <c r="M22" s="15">
        <f t="shared" si="22"/>
        <v>0.19000000000000045</v>
      </c>
      <c r="N22" s="15">
        <f t="shared" si="22"/>
        <v>0.19499999999999967</v>
      </c>
      <c r="O22" s="15">
        <f t="shared" si="22"/>
        <v>0.19999999999999937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3.2">
      <c r="A23" s="22"/>
      <c r="B23" s="22" t="s">
        <v>7</v>
      </c>
      <c r="C23" s="23"/>
      <c r="D23" s="23"/>
      <c r="E23" s="23">
        <v>55</v>
      </c>
      <c r="F23" s="23">
        <v>87</v>
      </c>
      <c r="G23" s="23">
        <v>104</v>
      </c>
      <c r="H23" s="23">
        <v>136</v>
      </c>
      <c r="I23" s="23">
        <v>118</v>
      </c>
      <c r="J23" s="23">
        <f>J77</f>
        <v>102</v>
      </c>
      <c r="K23" s="24">
        <f t="shared" ref="K23:O23" si="23">K24*K18</f>
        <v>105.56000000000002</v>
      </c>
      <c r="L23" s="23">
        <f t="shared" si="23"/>
        <v>105.56000000000002</v>
      </c>
      <c r="M23" s="23">
        <f t="shared" si="23"/>
        <v>109.78240000000001</v>
      </c>
      <c r="N23" s="23">
        <f t="shared" si="23"/>
        <v>114.17369600000002</v>
      </c>
      <c r="O23" s="23">
        <f t="shared" si="23"/>
        <v>118.74064384000003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3.2">
      <c r="A24" s="13"/>
      <c r="B24" s="13" t="s">
        <v>8</v>
      </c>
      <c r="C24" s="14"/>
      <c r="D24" s="14"/>
      <c r="E24" s="14">
        <f t="shared" ref="E24:J24" si="24">E23/E18</f>
        <v>3.6642238507661559E-2</v>
      </c>
      <c r="F24" s="14">
        <f t="shared" si="24"/>
        <v>4.1786743515850142E-2</v>
      </c>
      <c r="G24" s="14">
        <f t="shared" si="24"/>
        <v>4.4635193133047209E-2</v>
      </c>
      <c r="H24" s="14">
        <f t="shared" si="24"/>
        <v>6.9246435845213852E-2</v>
      </c>
      <c r="I24" s="14">
        <f t="shared" si="24"/>
        <v>6.1139896373056994E-2</v>
      </c>
      <c r="J24" s="14">
        <f t="shared" si="24"/>
        <v>5.024630541871921E-2</v>
      </c>
      <c r="K24" s="35">
        <v>0.05</v>
      </c>
      <c r="L24" s="14">
        <v>0.05</v>
      </c>
      <c r="M24" s="14">
        <v>0.05</v>
      </c>
      <c r="N24" s="14">
        <v>0.05</v>
      </c>
      <c r="O24" s="14">
        <v>0.05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3.2">
      <c r="A25" s="22"/>
      <c r="B25" s="22" t="s">
        <v>15</v>
      </c>
      <c r="C25" s="23"/>
      <c r="D25" s="23"/>
      <c r="E25" s="23">
        <v>26</v>
      </c>
      <c r="F25" s="23">
        <v>64</v>
      </c>
      <c r="G25" s="23">
        <v>58</v>
      </c>
      <c r="H25" s="23">
        <v>34</v>
      </c>
      <c r="I25" s="23">
        <v>48</v>
      </c>
      <c r="J25" s="23">
        <v>49</v>
      </c>
      <c r="K25" s="24">
        <f t="shared" ref="K25:O25" si="25">K26*K18</f>
        <v>52.780000000000008</v>
      </c>
      <c r="L25" s="23">
        <f t="shared" si="25"/>
        <v>52.780000000000008</v>
      </c>
      <c r="M25" s="23">
        <f t="shared" si="25"/>
        <v>54.891200000000005</v>
      </c>
      <c r="N25" s="23">
        <f t="shared" si="25"/>
        <v>57.08684800000001</v>
      </c>
      <c r="O25" s="23">
        <f t="shared" si="25"/>
        <v>59.370321920000016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3.2">
      <c r="A26" s="13"/>
      <c r="B26" s="13" t="s">
        <v>8</v>
      </c>
      <c r="C26" s="14"/>
      <c r="D26" s="14"/>
      <c r="E26" s="14">
        <f t="shared" ref="E26:J26" si="26">E25/E18</f>
        <v>1.7321785476349102E-2</v>
      </c>
      <c r="F26" s="14">
        <f t="shared" si="26"/>
        <v>3.073967339097022E-2</v>
      </c>
      <c r="G26" s="14">
        <f t="shared" si="26"/>
        <v>2.4892703862660945E-2</v>
      </c>
      <c r="H26" s="14">
        <f t="shared" si="26"/>
        <v>1.7311608961303463E-2</v>
      </c>
      <c r="I26" s="14">
        <f t="shared" si="26"/>
        <v>2.4870466321243522E-2</v>
      </c>
      <c r="J26" s="14">
        <f t="shared" si="26"/>
        <v>2.4137931034482758E-2</v>
      </c>
      <c r="K26" s="36">
        <v>2.5000000000000001E-2</v>
      </c>
      <c r="L26" s="37">
        <v>2.5000000000000001E-2</v>
      </c>
      <c r="M26" s="37">
        <v>2.5000000000000001E-2</v>
      </c>
      <c r="N26" s="37">
        <v>2.5000000000000001E-2</v>
      </c>
      <c r="O26" s="37">
        <v>2.5000000000000001E-2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3.2">
      <c r="A27" s="30"/>
      <c r="B27" s="30" t="s">
        <v>16</v>
      </c>
      <c r="C27" s="31"/>
      <c r="D27" s="31"/>
      <c r="E27" s="10">
        <f t="shared" ref="E27:O27" si="27">(E20*(1-0.21))+E23-E25</f>
        <v>77.19</v>
      </c>
      <c r="F27" s="10">
        <f t="shared" si="27"/>
        <v>78.300000000000011</v>
      </c>
      <c r="G27" s="10">
        <f t="shared" si="27"/>
        <v>104.46000000000001</v>
      </c>
      <c r="H27" s="10">
        <f t="shared" si="27"/>
        <v>57.759999999999991</v>
      </c>
      <c r="I27" s="10">
        <f t="shared" si="27"/>
        <v>131.62</v>
      </c>
      <c r="J27" s="10">
        <f t="shared" si="27"/>
        <v>129.63</v>
      </c>
      <c r="K27" s="18">
        <f t="shared" si="27"/>
        <v>136.17240000000004</v>
      </c>
      <c r="L27" s="10">
        <f t="shared" si="27"/>
        <v>152.85088000000005</v>
      </c>
      <c r="M27" s="10">
        <f t="shared" si="27"/>
        <v>167.63772480000003</v>
      </c>
      <c r="N27" s="10">
        <f t="shared" si="27"/>
        <v>183.36295577600006</v>
      </c>
      <c r="O27" s="10">
        <f t="shared" si="27"/>
        <v>200.07798487040006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3.2">
      <c r="A28" s="32"/>
      <c r="B28" s="32" t="s">
        <v>11</v>
      </c>
      <c r="C28" s="33"/>
      <c r="D28" s="33"/>
      <c r="E28" s="25"/>
      <c r="F28" s="25">
        <f t="shared" ref="F28:O28" si="28">F27/E27-1</f>
        <v>1.438010104935894E-2</v>
      </c>
      <c r="G28" s="25">
        <f t="shared" si="28"/>
        <v>0.33409961685823752</v>
      </c>
      <c r="H28" s="25">
        <f t="shared" si="28"/>
        <v>-0.44706107600995604</v>
      </c>
      <c r="I28" s="25">
        <f t="shared" si="28"/>
        <v>1.2787396121883661</v>
      </c>
      <c r="J28" s="25">
        <f t="shared" si="28"/>
        <v>-1.5119282783771504E-2</v>
      </c>
      <c r="K28" s="29">
        <f t="shared" si="28"/>
        <v>5.0469798657718501E-2</v>
      </c>
      <c r="L28" s="25">
        <f t="shared" si="28"/>
        <v>0.1224806201550388</v>
      </c>
      <c r="M28" s="25">
        <f t="shared" si="28"/>
        <v>9.6740331491712572E-2</v>
      </c>
      <c r="N28" s="25">
        <f t="shared" si="28"/>
        <v>9.3804846103471062E-2</v>
      </c>
      <c r="O28" s="25">
        <f t="shared" si="28"/>
        <v>9.1158156911581578E-2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3.2">
      <c r="A29" s="19"/>
      <c r="B29" s="19" t="s">
        <v>12</v>
      </c>
      <c r="C29" s="15"/>
      <c r="D29" s="15"/>
      <c r="E29" s="15">
        <f t="shared" ref="E29:O29" si="29">E27/E18</f>
        <v>5.1425716189207195E-2</v>
      </c>
      <c r="F29" s="15">
        <f t="shared" si="29"/>
        <v>3.7608069164265137E-2</v>
      </c>
      <c r="G29" s="15">
        <f t="shared" si="29"/>
        <v>4.483261802575108E-2</v>
      </c>
      <c r="H29" s="15">
        <f t="shared" si="29"/>
        <v>2.9409368635437878E-2</v>
      </c>
      <c r="I29" s="15">
        <f t="shared" si="29"/>
        <v>6.8196891191709852E-2</v>
      </c>
      <c r="J29" s="15">
        <f t="shared" si="29"/>
        <v>6.3857142857142848E-2</v>
      </c>
      <c r="K29" s="21">
        <f t="shared" si="29"/>
        <v>6.4500000000000016E-2</v>
      </c>
      <c r="L29" s="15">
        <f t="shared" si="29"/>
        <v>7.2400000000000006E-2</v>
      </c>
      <c r="M29" s="15">
        <f t="shared" si="29"/>
        <v>7.6350000000000015E-2</v>
      </c>
      <c r="N29" s="15">
        <f t="shared" si="29"/>
        <v>8.030000000000001E-2</v>
      </c>
      <c r="O29" s="15">
        <f t="shared" si="29"/>
        <v>8.4250000000000005E-2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2">
      <c r="A30" s="19"/>
      <c r="B30" s="19" t="s">
        <v>13</v>
      </c>
      <c r="C30" s="15"/>
      <c r="D30" s="15"/>
      <c r="E30" s="15"/>
      <c r="F30" s="15">
        <f t="shared" ref="F30:O30" si="30">(F27-E27)/(F18-E18)</f>
        <v>1.9104991394148256E-3</v>
      </c>
      <c r="G30" s="15">
        <f t="shared" si="30"/>
        <v>0.10548387096774192</v>
      </c>
      <c r="H30" s="15">
        <f t="shared" si="30"/>
        <v>0.12759562841530059</v>
      </c>
      <c r="I30" s="15">
        <f t="shared" si="30"/>
        <v>-2.172352941176471</v>
      </c>
      <c r="J30" s="15">
        <f t="shared" si="30"/>
        <v>-1.9900000000000091E-2</v>
      </c>
      <c r="K30" s="21">
        <f t="shared" si="30"/>
        <v>8.0571428571428835E-2</v>
      </c>
      <c r="L30" s="15"/>
      <c r="M30" s="15">
        <f t="shared" si="30"/>
        <v>0.17510000000000009</v>
      </c>
      <c r="N30" s="15">
        <f t="shared" si="30"/>
        <v>0.17904999999999993</v>
      </c>
      <c r="O30" s="15">
        <f t="shared" si="30"/>
        <v>0.18299999999999947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3.2">
      <c r="K31" s="1"/>
    </row>
    <row r="32" spans="1:30" ht="13.2">
      <c r="A32" s="10"/>
      <c r="B32" s="10" t="s">
        <v>17</v>
      </c>
      <c r="C32" s="10"/>
      <c r="D32" s="10"/>
      <c r="E32" s="10">
        <v>-57</v>
      </c>
      <c r="F32" s="10">
        <v>-59</v>
      </c>
      <c r="G32" s="10">
        <v>-15</v>
      </c>
      <c r="H32" s="10">
        <v>-16</v>
      </c>
      <c r="I32" s="10">
        <v>-70</v>
      </c>
      <c r="J32" s="10">
        <v>-47</v>
      </c>
      <c r="K32" s="38">
        <v>-50</v>
      </c>
      <c r="L32" s="39">
        <v>-50</v>
      </c>
      <c r="M32" s="39">
        <v>-50</v>
      </c>
      <c r="N32" s="39">
        <v>-50</v>
      </c>
      <c r="O32" s="39">
        <v>-50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3.2">
      <c r="A33" s="31"/>
      <c r="B33" s="9" t="s">
        <v>4</v>
      </c>
      <c r="C33" s="31"/>
      <c r="D33" s="31"/>
      <c r="E33" s="10">
        <v>-89</v>
      </c>
      <c r="F33" s="10">
        <v>-86</v>
      </c>
      <c r="G33" s="10">
        <v>-328</v>
      </c>
      <c r="H33" s="10">
        <v>-118</v>
      </c>
      <c r="I33" s="10">
        <v>-149</v>
      </c>
      <c r="J33" s="10">
        <v>-191</v>
      </c>
      <c r="K33" s="38">
        <v>-120</v>
      </c>
      <c r="L33" s="39">
        <v>-125</v>
      </c>
      <c r="M33" s="39">
        <v>-130</v>
      </c>
      <c r="N33" s="39">
        <v>-135</v>
      </c>
      <c r="O33" s="39">
        <v>-145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3.2">
      <c r="A34" s="23"/>
      <c r="B34" s="22" t="s">
        <v>7</v>
      </c>
      <c r="C34" s="23"/>
      <c r="D34" s="23"/>
      <c r="E34" s="23">
        <v>2</v>
      </c>
      <c r="F34" s="23">
        <v>4</v>
      </c>
      <c r="G34" s="23">
        <v>10</v>
      </c>
      <c r="H34" s="23">
        <v>8</v>
      </c>
      <c r="I34" s="23">
        <v>10</v>
      </c>
      <c r="J34" s="23">
        <v>9</v>
      </c>
      <c r="K34" s="40">
        <v>10</v>
      </c>
      <c r="L34" s="41">
        <v>10</v>
      </c>
      <c r="M34" s="41">
        <v>10</v>
      </c>
      <c r="N34" s="41">
        <v>10</v>
      </c>
      <c r="O34" s="41">
        <v>10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3.2">
      <c r="A35" s="25"/>
      <c r="B35" s="13" t="s">
        <v>8</v>
      </c>
      <c r="C35" s="25"/>
      <c r="D35" s="25"/>
      <c r="E35" s="25">
        <f t="shared" ref="E35:O35" si="31">E34/E32</f>
        <v>-3.5087719298245612E-2</v>
      </c>
      <c r="F35" s="25">
        <f t="shared" si="31"/>
        <v>-6.7796610169491525E-2</v>
      </c>
      <c r="G35" s="25">
        <f t="shared" si="31"/>
        <v>-0.66666666666666663</v>
      </c>
      <c r="H35" s="25">
        <f t="shared" si="31"/>
        <v>-0.5</v>
      </c>
      <c r="I35" s="25">
        <f t="shared" si="31"/>
        <v>-0.14285714285714285</v>
      </c>
      <c r="J35" s="25">
        <f t="shared" si="31"/>
        <v>-0.19148936170212766</v>
      </c>
      <c r="K35" s="29">
        <f t="shared" si="31"/>
        <v>-0.2</v>
      </c>
      <c r="L35" s="25">
        <f t="shared" si="31"/>
        <v>-0.2</v>
      </c>
      <c r="M35" s="25">
        <f t="shared" si="31"/>
        <v>-0.2</v>
      </c>
      <c r="N35" s="25">
        <f t="shared" si="31"/>
        <v>-0.2</v>
      </c>
      <c r="O35" s="25">
        <f t="shared" si="31"/>
        <v>-0.2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3.2">
      <c r="A36" s="23"/>
      <c r="B36" s="22" t="s">
        <v>18</v>
      </c>
      <c r="C36" s="23"/>
      <c r="D36" s="23"/>
      <c r="E36" s="23">
        <v>7</v>
      </c>
      <c r="F36" s="23">
        <v>1</v>
      </c>
      <c r="G36" s="23">
        <v>1</v>
      </c>
      <c r="H36" s="23">
        <v>2</v>
      </c>
      <c r="I36" s="23">
        <v>1</v>
      </c>
      <c r="J36" s="23">
        <v>5</v>
      </c>
      <c r="K36" s="40">
        <v>5</v>
      </c>
      <c r="L36" s="41">
        <v>5</v>
      </c>
      <c r="M36" s="41">
        <v>5</v>
      </c>
      <c r="N36" s="41">
        <v>5</v>
      </c>
      <c r="O36" s="41">
        <v>5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2">
      <c r="A37" s="25"/>
      <c r="B37" s="13" t="s">
        <v>8</v>
      </c>
      <c r="C37" s="25"/>
      <c r="D37" s="25"/>
      <c r="E37" s="25">
        <f t="shared" ref="E37:O37" si="32">E36/E32</f>
        <v>-0.12280701754385964</v>
      </c>
      <c r="F37" s="25">
        <f t="shared" si="32"/>
        <v>-1.6949152542372881E-2</v>
      </c>
      <c r="G37" s="25">
        <f t="shared" si="32"/>
        <v>-6.6666666666666666E-2</v>
      </c>
      <c r="H37" s="25">
        <f t="shared" si="32"/>
        <v>-0.125</v>
      </c>
      <c r="I37" s="25">
        <f t="shared" si="32"/>
        <v>-1.4285714285714285E-2</v>
      </c>
      <c r="J37" s="25">
        <f t="shared" si="32"/>
        <v>-0.10638297872340426</v>
      </c>
      <c r="K37" s="29">
        <f t="shared" si="32"/>
        <v>-0.1</v>
      </c>
      <c r="L37" s="25">
        <f t="shared" si="32"/>
        <v>-0.1</v>
      </c>
      <c r="M37" s="25">
        <f t="shared" si="32"/>
        <v>-0.1</v>
      </c>
      <c r="N37" s="25">
        <f t="shared" si="32"/>
        <v>-0.1</v>
      </c>
      <c r="O37" s="25">
        <f t="shared" si="32"/>
        <v>-0.1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3.2">
      <c r="B38" s="4" t="s">
        <v>19</v>
      </c>
      <c r="K38" s="29">
        <f t="shared" ref="K38:O38" si="33">(K33+K34)/K48</f>
        <v>-1.597020830233056E-2</v>
      </c>
      <c r="L38" s="25">
        <f t="shared" si="33"/>
        <v>-1.5667779851071619E-2</v>
      </c>
      <c r="M38" s="25">
        <f t="shared" si="33"/>
        <v>-1.5445363285878885E-2</v>
      </c>
      <c r="N38" s="25">
        <f t="shared" si="33"/>
        <v>-1.5050712855125008E-2</v>
      </c>
      <c r="O38" s="25">
        <f t="shared" si="33"/>
        <v>-1.5406014183685996E-2</v>
      </c>
    </row>
    <row r="39" spans="1:30" ht="13.2">
      <c r="B39" s="4"/>
      <c r="K39" s="1"/>
    </row>
    <row r="40" spans="1:30" ht="13.2">
      <c r="B40" s="4" t="s">
        <v>20</v>
      </c>
      <c r="K40" s="24">
        <f t="shared" ref="K40:O40" si="34">K42*K41</f>
        <v>95.969999999999985</v>
      </c>
      <c r="L40" s="23">
        <f t="shared" si="34"/>
        <v>186.61462500000002</v>
      </c>
      <c r="M40" s="23">
        <f t="shared" si="34"/>
        <v>251.51965920000004</v>
      </c>
      <c r="N40" s="23">
        <f t="shared" si="34"/>
        <v>404.15775899174372</v>
      </c>
      <c r="O40" s="23">
        <f t="shared" si="34"/>
        <v>486.99482083504063</v>
      </c>
    </row>
    <row r="41" spans="1:30" ht="13.2">
      <c r="B41" s="4" t="s">
        <v>21</v>
      </c>
      <c r="K41" s="24">
        <f>J102*0.3</f>
        <v>137.1</v>
      </c>
      <c r="L41" s="23">
        <f t="shared" ref="L41:M41" si="35">K102*0.4</f>
        <v>248.81950000000003</v>
      </c>
      <c r="M41" s="23">
        <f t="shared" si="35"/>
        <v>314.39957400000003</v>
      </c>
      <c r="N41" s="23">
        <f t="shared" ref="N41:O41" si="36">M102*0.5</f>
        <v>475.4797164608749</v>
      </c>
      <c r="O41" s="23">
        <f t="shared" si="36"/>
        <v>541.10535648337839</v>
      </c>
    </row>
    <row r="42" spans="1:30" ht="13.2">
      <c r="B42" s="4" t="s">
        <v>22</v>
      </c>
      <c r="K42" s="42">
        <v>0.7</v>
      </c>
      <c r="L42" s="43">
        <v>0.75</v>
      </c>
      <c r="M42" s="43">
        <f t="shared" ref="M42:O42" si="37">L42+0.05</f>
        <v>0.8</v>
      </c>
      <c r="N42" s="43">
        <f t="shared" si="37"/>
        <v>0.85000000000000009</v>
      </c>
      <c r="O42" s="43">
        <f t="shared" si="37"/>
        <v>0.90000000000000013</v>
      </c>
    </row>
    <row r="43" spans="1:30" ht="13.2">
      <c r="B43" s="4" t="s">
        <v>23</v>
      </c>
      <c r="K43" s="44">
        <v>0.09</v>
      </c>
      <c r="L43" s="45">
        <v>0.09</v>
      </c>
      <c r="M43" s="45">
        <v>0.09</v>
      </c>
      <c r="N43" s="45">
        <v>0.09</v>
      </c>
      <c r="O43" s="45">
        <v>0.09</v>
      </c>
      <c r="P43" s="45"/>
    </row>
    <row r="44" spans="1:30" ht="13.2">
      <c r="B44" s="4" t="s">
        <v>24</v>
      </c>
      <c r="K44" s="24">
        <f t="shared" ref="K44:O44" si="38">K40*K43</f>
        <v>8.637299999999998</v>
      </c>
      <c r="L44" s="23">
        <f t="shared" si="38"/>
        <v>16.795316250000003</v>
      </c>
      <c r="M44" s="23">
        <f t="shared" si="38"/>
        <v>22.636769328000003</v>
      </c>
      <c r="N44" s="23">
        <f t="shared" si="38"/>
        <v>36.374198309256933</v>
      </c>
      <c r="O44" s="23">
        <f t="shared" si="38"/>
        <v>43.829533875153658</v>
      </c>
    </row>
    <row r="45" spans="1:30" ht="13.2">
      <c r="B45" s="4"/>
      <c r="K45" s="1"/>
    </row>
    <row r="46" spans="1:30" ht="13.2">
      <c r="B46" s="4"/>
      <c r="K46" s="1"/>
    </row>
    <row r="47" spans="1:30" ht="13.2">
      <c r="B47" s="4"/>
      <c r="K47" s="1"/>
    </row>
    <row r="48" spans="1:30" ht="13.2">
      <c r="A48" s="31"/>
      <c r="B48" s="6" t="s">
        <v>25</v>
      </c>
      <c r="C48" s="46">
        <v>2449</v>
      </c>
      <c r="D48" s="46">
        <v>2608</v>
      </c>
      <c r="E48" s="46">
        <v>3046</v>
      </c>
      <c r="F48" s="46">
        <v>3728</v>
      </c>
      <c r="G48" s="46">
        <f t="shared" ref="G48:I48" si="39">G32+G18+G4</f>
        <v>4092</v>
      </c>
      <c r="H48" s="46">
        <f t="shared" si="39"/>
        <v>3587</v>
      </c>
      <c r="I48" s="46">
        <f t="shared" si="39"/>
        <v>3940</v>
      </c>
      <c r="J48" s="46">
        <f t="shared" ref="J48:K48" si="40">J4+J18+J32</f>
        <v>6558</v>
      </c>
      <c r="K48" s="46">
        <f t="shared" si="40"/>
        <v>6887.8250000000007</v>
      </c>
      <c r="L48" s="46">
        <f t="shared" ref="L48:O48" si="41">L4+L18+L32+L40</f>
        <v>7339.9040000000005</v>
      </c>
      <c r="M48" s="46">
        <f t="shared" si="41"/>
        <v>7769.3219498249991</v>
      </c>
      <c r="N48" s="46">
        <f t="shared" si="41"/>
        <v>8305.254455601118</v>
      </c>
      <c r="O48" s="46">
        <f t="shared" si="41"/>
        <v>8762.8116130748822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3.2">
      <c r="A49" s="25"/>
      <c r="B49" s="25" t="s">
        <v>11</v>
      </c>
      <c r="C49" s="25"/>
      <c r="D49" s="25">
        <f t="shared" ref="D49:O49" si="42">D48/C48-1</f>
        <v>6.4924458962841936E-2</v>
      </c>
      <c r="E49" s="25">
        <f t="shared" si="42"/>
        <v>0.16794478527607359</v>
      </c>
      <c r="F49" s="25">
        <f t="shared" si="42"/>
        <v>0.22390019697964547</v>
      </c>
      <c r="G49" s="25">
        <f t="shared" si="42"/>
        <v>9.7639484978540692E-2</v>
      </c>
      <c r="H49" s="25">
        <f t="shared" si="42"/>
        <v>-0.12341153470185728</v>
      </c>
      <c r="I49" s="25">
        <f t="shared" si="42"/>
        <v>9.841092835238352E-2</v>
      </c>
      <c r="J49" s="25">
        <f t="shared" si="42"/>
        <v>0.66446700507614209</v>
      </c>
      <c r="K49" s="29">
        <f t="shared" si="42"/>
        <v>5.029353461421171E-2</v>
      </c>
      <c r="L49" s="25">
        <f t="shared" si="42"/>
        <v>6.5634507264629827E-2</v>
      </c>
      <c r="M49" s="25">
        <f t="shared" si="42"/>
        <v>5.850457306049206E-2</v>
      </c>
      <c r="N49" s="25">
        <f t="shared" si="42"/>
        <v>6.8980602070196184E-2</v>
      </c>
      <c r="O49" s="25">
        <f t="shared" si="42"/>
        <v>5.5092491135558808E-2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3.2">
      <c r="A50" s="23"/>
      <c r="B50" s="23" t="s">
        <v>26</v>
      </c>
      <c r="C50" s="23">
        <v>1906</v>
      </c>
      <c r="D50" s="23">
        <v>2004</v>
      </c>
      <c r="E50" s="23">
        <v>2382</v>
      </c>
      <c r="F50" s="23">
        <v>2941</v>
      </c>
      <c r="G50" s="23">
        <v>3290</v>
      </c>
      <c r="H50" s="23">
        <v>2831</v>
      </c>
      <c r="I50" s="23">
        <v>3001</v>
      </c>
      <c r="J50" s="23">
        <v>4844</v>
      </c>
      <c r="K50" s="24">
        <f t="shared" ref="K50:O50" si="43">K48-K51</f>
        <v>5045.3318125000005</v>
      </c>
      <c r="L50" s="23">
        <f t="shared" si="43"/>
        <v>5350.7900159999999</v>
      </c>
      <c r="M50" s="23">
        <f t="shared" si="43"/>
        <v>5636.643074598036</v>
      </c>
      <c r="N50" s="23">
        <f t="shared" si="43"/>
        <v>5996.3937169440069</v>
      </c>
      <c r="O50" s="23">
        <f t="shared" si="43"/>
        <v>6296.0801439943025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3.2">
      <c r="B51" s="4" t="s">
        <v>27</v>
      </c>
      <c r="C51" s="23">
        <f t="shared" ref="C51:J51" si="44">C48-C50</f>
        <v>543</v>
      </c>
      <c r="D51" s="23">
        <f t="shared" si="44"/>
        <v>604</v>
      </c>
      <c r="E51" s="23">
        <f t="shared" si="44"/>
        <v>664</v>
      </c>
      <c r="F51" s="23">
        <f t="shared" si="44"/>
        <v>787</v>
      </c>
      <c r="G51" s="23">
        <f t="shared" si="44"/>
        <v>802</v>
      </c>
      <c r="H51" s="23">
        <f t="shared" si="44"/>
        <v>756</v>
      </c>
      <c r="I51" s="23">
        <f t="shared" si="44"/>
        <v>939</v>
      </c>
      <c r="J51" s="23">
        <f t="shared" si="44"/>
        <v>1714</v>
      </c>
      <c r="K51" s="24">
        <f t="shared" ref="K51:O51" si="45">K48*K52</f>
        <v>1842.4931875000002</v>
      </c>
      <c r="L51" s="23">
        <f t="shared" si="45"/>
        <v>1989.1139840000003</v>
      </c>
      <c r="M51" s="23">
        <f t="shared" si="45"/>
        <v>2132.6788752269626</v>
      </c>
      <c r="N51" s="23">
        <f t="shared" si="45"/>
        <v>2308.8607386571111</v>
      </c>
      <c r="O51" s="23">
        <f t="shared" si="45"/>
        <v>2466.7314690805797</v>
      </c>
    </row>
    <row r="52" spans="1:30" ht="13.2">
      <c r="A52" s="25"/>
      <c r="B52" s="4" t="s">
        <v>28</v>
      </c>
      <c r="C52" s="25">
        <f t="shared" ref="C52:J52" si="46">C51/C48</f>
        <v>0.2217231523070641</v>
      </c>
      <c r="D52" s="25">
        <f t="shared" si="46"/>
        <v>0.23159509202453987</v>
      </c>
      <c r="E52" s="25">
        <f t="shared" si="46"/>
        <v>0.21799080761654629</v>
      </c>
      <c r="F52" s="25">
        <f t="shared" si="46"/>
        <v>0.21110515021459228</v>
      </c>
      <c r="G52" s="25">
        <f t="shared" si="46"/>
        <v>0.1959921798631476</v>
      </c>
      <c r="H52" s="25">
        <f t="shared" si="46"/>
        <v>0.21076108168385838</v>
      </c>
      <c r="I52" s="25">
        <f t="shared" si="46"/>
        <v>0.2383248730964467</v>
      </c>
      <c r="J52" s="25">
        <f t="shared" si="46"/>
        <v>0.26136017078377555</v>
      </c>
      <c r="K52" s="26">
        <v>0.26750000000000002</v>
      </c>
      <c r="L52" s="27">
        <f>K52+0.0035</f>
        <v>0.27100000000000002</v>
      </c>
      <c r="M52" s="27">
        <f t="shared" ref="M52:O52" si="47">L52+0.0035</f>
        <v>0.27450000000000002</v>
      </c>
      <c r="N52" s="27">
        <f t="shared" si="47"/>
        <v>0.27800000000000002</v>
      </c>
      <c r="O52" s="27">
        <f t="shared" si="47"/>
        <v>0.28150000000000003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3.2">
      <c r="B53" s="4" t="s">
        <v>29</v>
      </c>
      <c r="D53" s="25">
        <f t="shared" ref="D53:O53" si="48">(D51-C51)/(D48-C48)</f>
        <v>0.38364779874213839</v>
      </c>
      <c r="E53" s="25">
        <f t="shared" si="48"/>
        <v>0.13698630136986301</v>
      </c>
      <c r="F53" s="25">
        <f t="shared" si="48"/>
        <v>0.18035190615835778</v>
      </c>
      <c r="G53" s="25">
        <f t="shared" si="48"/>
        <v>4.1208791208791208E-2</v>
      </c>
      <c r="H53" s="25">
        <f t="shared" si="48"/>
        <v>9.1089108910891087E-2</v>
      </c>
      <c r="I53" s="25">
        <f t="shared" si="48"/>
        <v>0.5184135977337111</v>
      </c>
      <c r="J53" s="25">
        <f t="shared" si="48"/>
        <v>0.29602750190985483</v>
      </c>
      <c r="K53" s="29">
        <f t="shared" si="48"/>
        <v>0.38957989085120875</v>
      </c>
      <c r="L53" s="25">
        <f t="shared" si="48"/>
        <v>0.3243256079136615</v>
      </c>
      <c r="M53" s="25">
        <f t="shared" si="48"/>
        <v>0.33432438323891572</v>
      </c>
      <c r="N53" s="25">
        <f t="shared" si="48"/>
        <v>0.3287389018790865</v>
      </c>
      <c r="O53" s="25">
        <f t="shared" si="48"/>
        <v>0.34502952875897414</v>
      </c>
    </row>
    <row r="54" spans="1:30" ht="13.2">
      <c r="A54" s="23"/>
      <c r="B54" s="23" t="s">
        <v>30</v>
      </c>
      <c r="C54" s="23">
        <v>431</v>
      </c>
      <c r="D54" s="23">
        <v>498</v>
      </c>
      <c r="E54" s="23">
        <v>511</v>
      </c>
      <c r="F54" s="23">
        <v>625</v>
      </c>
      <c r="G54" s="23">
        <v>849</v>
      </c>
      <c r="H54" s="23">
        <v>725</v>
      </c>
      <c r="I54" s="23">
        <v>803</v>
      </c>
      <c r="J54" s="23">
        <v>1552</v>
      </c>
      <c r="K54" s="24">
        <f t="shared" ref="K54:O54" si="49">K51-K58</f>
        <v>1519.0694375000003</v>
      </c>
      <c r="L54" s="23">
        <f t="shared" si="49"/>
        <v>1512.3586240000004</v>
      </c>
      <c r="M54" s="23">
        <f t="shared" si="49"/>
        <v>1506.3880139302128</v>
      </c>
      <c r="N54" s="23">
        <f t="shared" si="49"/>
        <v>1567.5286327547292</v>
      </c>
      <c r="O54" s="23">
        <f t="shared" si="49"/>
        <v>1616.1604604382464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3.2">
      <c r="B55" s="47" t="s">
        <v>31</v>
      </c>
      <c r="D55" s="25">
        <f t="shared" ref="D55:O55" si="50">D54/C54-1</f>
        <v>0.15545243619489568</v>
      </c>
      <c r="E55" s="25">
        <f t="shared" si="50"/>
        <v>2.6104417670682833E-2</v>
      </c>
      <c r="F55" s="25">
        <f t="shared" si="50"/>
        <v>0.22309197651663415</v>
      </c>
      <c r="G55" s="25">
        <f t="shared" si="50"/>
        <v>0.35840000000000005</v>
      </c>
      <c r="H55" s="25">
        <f t="shared" si="50"/>
        <v>-0.14605418138987047</v>
      </c>
      <c r="I55" s="25">
        <f t="shared" si="50"/>
        <v>0.10758620689655163</v>
      </c>
      <c r="J55" s="25">
        <f t="shared" si="50"/>
        <v>0.93275217932752175</v>
      </c>
      <c r="K55" s="29">
        <f t="shared" si="50"/>
        <v>-2.1218145940721467E-2</v>
      </c>
      <c r="L55" s="25">
        <f t="shared" si="50"/>
        <v>-4.4177134595270173E-3</v>
      </c>
      <c r="M55" s="25">
        <f t="shared" si="50"/>
        <v>-3.9478798051193476E-3</v>
      </c>
      <c r="N55" s="25">
        <f t="shared" si="50"/>
        <v>4.0587563269969706E-2</v>
      </c>
      <c r="O55" s="25">
        <f t="shared" si="50"/>
        <v>3.1024522721510461E-2</v>
      </c>
    </row>
    <row r="56" spans="1:30" ht="13.2">
      <c r="A56" s="48"/>
      <c r="B56" s="49" t="s">
        <v>8</v>
      </c>
      <c r="C56" s="25">
        <f t="shared" ref="C56:O56" si="51">C54/C48</f>
        <v>0.17599020008166599</v>
      </c>
      <c r="D56" s="25">
        <f t="shared" si="51"/>
        <v>0.19095092024539878</v>
      </c>
      <c r="E56" s="25">
        <f t="shared" si="51"/>
        <v>0.16776099803020356</v>
      </c>
      <c r="F56" s="25">
        <f t="shared" si="51"/>
        <v>0.16765021459227467</v>
      </c>
      <c r="G56" s="25">
        <f t="shared" si="51"/>
        <v>0.20747800586510265</v>
      </c>
      <c r="H56" s="25">
        <f t="shared" si="51"/>
        <v>0.20211876219682184</v>
      </c>
      <c r="I56" s="25">
        <f t="shared" si="51"/>
        <v>0.20380710659898477</v>
      </c>
      <c r="J56" s="25">
        <f t="shared" si="51"/>
        <v>0.23665751753583408</v>
      </c>
      <c r="K56" s="50">
        <f t="shared" si="51"/>
        <v>0.22054413947799198</v>
      </c>
      <c r="L56" s="51">
        <f t="shared" si="51"/>
        <v>0.20604610414523136</v>
      </c>
      <c r="M56" s="51">
        <f t="shared" si="51"/>
        <v>0.19388925103871432</v>
      </c>
      <c r="N56" s="51">
        <f t="shared" si="51"/>
        <v>0.18873938675022506</v>
      </c>
      <c r="O56" s="51">
        <f t="shared" si="51"/>
        <v>0.18443400723425271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3.2">
      <c r="A57" s="48"/>
      <c r="B57" s="48" t="s">
        <v>32</v>
      </c>
      <c r="C57" s="48">
        <v>0</v>
      </c>
      <c r="D57" s="48">
        <v>0</v>
      </c>
      <c r="E57" s="48">
        <v>30</v>
      </c>
      <c r="F57" s="48">
        <v>0</v>
      </c>
      <c r="G57" s="48">
        <v>12</v>
      </c>
      <c r="H57" s="48">
        <v>197</v>
      </c>
      <c r="I57" s="48">
        <v>0</v>
      </c>
      <c r="J57" s="48">
        <v>0</v>
      </c>
      <c r="K57" s="52">
        <v>0</v>
      </c>
      <c r="L57" s="48">
        <v>0</v>
      </c>
      <c r="M57" s="48">
        <v>0</v>
      </c>
      <c r="N57" s="48">
        <v>0</v>
      </c>
      <c r="O57" s="48">
        <v>0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3.2">
      <c r="B58" s="4" t="s">
        <v>33</v>
      </c>
      <c r="C58" s="23">
        <f t="shared" ref="C58:J58" si="52">C51-C54-C57</f>
        <v>112</v>
      </c>
      <c r="D58" s="23">
        <f t="shared" si="52"/>
        <v>106</v>
      </c>
      <c r="E58" s="23">
        <f t="shared" si="52"/>
        <v>123</v>
      </c>
      <c r="F58" s="23">
        <f t="shared" si="52"/>
        <v>162</v>
      </c>
      <c r="G58" s="23">
        <f t="shared" si="52"/>
        <v>-59</v>
      </c>
      <c r="H58" s="23">
        <f t="shared" si="52"/>
        <v>-166</v>
      </c>
      <c r="I58" s="23">
        <f t="shared" si="52"/>
        <v>136</v>
      </c>
      <c r="J58" s="23">
        <f t="shared" si="52"/>
        <v>162</v>
      </c>
      <c r="K58" s="24">
        <f>K6+K20+K33</f>
        <v>323.42375000000004</v>
      </c>
      <c r="L58" s="23">
        <f t="shared" ref="L58:O58" si="53">L6+L20+L33+L44</f>
        <v>476.75535999999994</v>
      </c>
      <c r="M58" s="23">
        <f t="shared" si="53"/>
        <v>626.29086129674988</v>
      </c>
      <c r="N58" s="23">
        <f t="shared" si="53"/>
        <v>741.33210590238184</v>
      </c>
      <c r="O58" s="23">
        <f t="shared" si="53"/>
        <v>850.57100864233325</v>
      </c>
    </row>
    <row r="59" spans="1:30" ht="13.2">
      <c r="B59" s="4" t="s">
        <v>34</v>
      </c>
      <c r="C59" s="25">
        <f t="shared" ref="C59:O59" si="54">C58/C48</f>
        <v>4.5732952225398124E-2</v>
      </c>
      <c r="D59" s="25">
        <f t="shared" si="54"/>
        <v>4.0644171779141106E-2</v>
      </c>
      <c r="E59" s="25">
        <f t="shared" si="54"/>
        <v>4.0380827314510835E-2</v>
      </c>
      <c r="F59" s="25">
        <f t="shared" si="54"/>
        <v>4.3454935622317593E-2</v>
      </c>
      <c r="G59" s="25">
        <f t="shared" si="54"/>
        <v>-1.4418377321603127E-2</v>
      </c>
      <c r="H59" s="25">
        <f t="shared" si="54"/>
        <v>-4.6278226930582658E-2</v>
      </c>
      <c r="I59" s="25">
        <f t="shared" si="54"/>
        <v>3.4517766497461931E-2</v>
      </c>
      <c r="J59" s="25">
        <f t="shared" si="54"/>
        <v>2.4702653247941447E-2</v>
      </c>
      <c r="K59" s="29">
        <f t="shared" si="54"/>
        <v>4.6955860522008036E-2</v>
      </c>
      <c r="L59" s="25">
        <f t="shared" si="54"/>
        <v>6.4953895854768656E-2</v>
      </c>
      <c r="M59" s="25">
        <f t="shared" si="54"/>
        <v>8.0610748961285714E-2</v>
      </c>
      <c r="N59" s="25">
        <f t="shared" si="54"/>
        <v>8.9260613249774981E-2</v>
      </c>
      <c r="O59" s="25">
        <f t="shared" si="54"/>
        <v>9.706599276574733E-2</v>
      </c>
    </row>
    <row r="60" spans="1:30" ht="13.2">
      <c r="A60" s="25"/>
      <c r="B60" s="25" t="s">
        <v>35</v>
      </c>
      <c r="C60" s="25"/>
      <c r="D60" s="25">
        <f t="shared" ref="D60:O60" si="55">(D58-C58)/(D48-C48)</f>
        <v>-3.7735849056603772E-2</v>
      </c>
      <c r="E60" s="25">
        <f t="shared" si="55"/>
        <v>3.8812785388127852E-2</v>
      </c>
      <c r="F60" s="25">
        <f t="shared" si="55"/>
        <v>5.7184750733137828E-2</v>
      </c>
      <c r="G60" s="25">
        <f t="shared" si="55"/>
        <v>-0.6071428571428571</v>
      </c>
      <c r="H60" s="25">
        <f t="shared" si="55"/>
        <v>0.21188118811881188</v>
      </c>
      <c r="I60" s="25">
        <f t="shared" si="55"/>
        <v>0.85552407932011332</v>
      </c>
      <c r="J60" s="25">
        <f t="shared" si="55"/>
        <v>9.9312452253628725E-3</v>
      </c>
      <c r="K60" s="29">
        <f t="shared" si="55"/>
        <v>0.48942242098082223</v>
      </c>
      <c r="L60" s="25">
        <f t="shared" si="55"/>
        <v>0.33916994596077232</v>
      </c>
      <c r="M60" s="25">
        <f t="shared" si="55"/>
        <v>0.34822834340690778</v>
      </c>
      <c r="N60" s="25">
        <f t="shared" si="55"/>
        <v>0.21465621765008117</v>
      </c>
      <c r="O60" s="25">
        <f t="shared" si="55"/>
        <v>0.23874373060422524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13.2">
      <c r="A61" s="23"/>
      <c r="B61" s="23" t="s">
        <v>36</v>
      </c>
      <c r="C61" s="23">
        <v>0</v>
      </c>
      <c r="D61" s="23">
        <v>-7</v>
      </c>
      <c r="E61" s="23">
        <v>3</v>
      </c>
      <c r="F61" s="23">
        <v>16</v>
      </c>
      <c r="G61" s="23">
        <v>-1</v>
      </c>
      <c r="H61" s="23">
        <v>18</v>
      </c>
      <c r="I61" s="23">
        <v>57</v>
      </c>
      <c r="J61" s="23">
        <v>69</v>
      </c>
      <c r="K61" s="24">
        <f t="shared" ref="K61:O61" si="56">K106*5.5%</f>
        <v>142.065</v>
      </c>
      <c r="L61" s="23">
        <f t="shared" si="56"/>
        <v>131.065</v>
      </c>
      <c r="M61" s="23">
        <f t="shared" si="56"/>
        <v>117.68122982406655</v>
      </c>
      <c r="N61" s="23">
        <f t="shared" si="56"/>
        <v>119.04317842634325</v>
      </c>
      <c r="O61" s="23">
        <f t="shared" si="56"/>
        <v>132.80869900099196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13.2">
      <c r="B62" s="4" t="s">
        <v>37</v>
      </c>
      <c r="C62" s="23">
        <f t="shared" ref="C62:O62" si="57">C58-C61</f>
        <v>112</v>
      </c>
      <c r="D62" s="23">
        <f t="shared" si="57"/>
        <v>113</v>
      </c>
      <c r="E62" s="23">
        <f t="shared" si="57"/>
        <v>120</v>
      </c>
      <c r="F62" s="23">
        <f t="shared" si="57"/>
        <v>146</v>
      </c>
      <c r="G62" s="23">
        <f t="shared" si="57"/>
        <v>-58</v>
      </c>
      <c r="H62" s="23">
        <f t="shared" si="57"/>
        <v>-184</v>
      </c>
      <c r="I62" s="23">
        <f t="shared" si="57"/>
        <v>79</v>
      </c>
      <c r="J62" s="23">
        <f t="shared" si="57"/>
        <v>93</v>
      </c>
      <c r="K62" s="24">
        <f t="shared" si="57"/>
        <v>181.35875000000004</v>
      </c>
      <c r="L62" s="23">
        <f t="shared" si="57"/>
        <v>345.69035999999994</v>
      </c>
      <c r="M62" s="23">
        <f t="shared" si="57"/>
        <v>508.6096314726833</v>
      </c>
      <c r="N62" s="23">
        <f t="shared" si="57"/>
        <v>622.28892747603857</v>
      </c>
      <c r="O62" s="23">
        <f t="shared" si="57"/>
        <v>717.76230964134129</v>
      </c>
    </row>
    <row r="63" spans="1:30" ht="13.2">
      <c r="A63" s="23"/>
      <c r="B63" s="23" t="s">
        <v>38</v>
      </c>
      <c r="C63" s="23">
        <v>6</v>
      </c>
      <c r="D63" s="23">
        <v>9</v>
      </c>
      <c r="E63" s="23">
        <v>8</v>
      </c>
      <c r="F63" s="23">
        <v>10</v>
      </c>
      <c r="G63" s="23">
        <v>9</v>
      </c>
      <c r="H63" s="23">
        <v>-31</v>
      </c>
      <c r="I63" s="23">
        <v>32</v>
      </c>
      <c r="J63" s="23">
        <v>20</v>
      </c>
      <c r="K63" s="24">
        <f t="shared" ref="K63:O63" si="58">K64*K62</f>
        <v>38.085337500000009</v>
      </c>
      <c r="L63" s="23">
        <f t="shared" si="58"/>
        <v>72.594975599999984</v>
      </c>
      <c r="M63" s="23">
        <f t="shared" si="58"/>
        <v>106.80802260926349</v>
      </c>
      <c r="N63" s="23">
        <f t="shared" si="58"/>
        <v>130.68067476996811</v>
      </c>
      <c r="O63" s="23">
        <f t="shared" si="58"/>
        <v>150.73008502468167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13.2">
      <c r="A64" s="20"/>
      <c r="B64" s="20" t="s">
        <v>39</v>
      </c>
      <c r="C64" s="15">
        <f t="shared" ref="C64:J64" si="59">C63/C62</f>
        <v>5.3571428571428568E-2</v>
      </c>
      <c r="D64" s="15">
        <f t="shared" si="59"/>
        <v>7.9646017699115043E-2</v>
      </c>
      <c r="E64" s="15">
        <f t="shared" si="59"/>
        <v>6.6666666666666666E-2</v>
      </c>
      <c r="F64" s="15">
        <f t="shared" si="59"/>
        <v>6.8493150684931503E-2</v>
      </c>
      <c r="G64" s="15">
        <f t="shared" si="59"/>
        <v>-0.15517241379310345</v>
      </c>
      <c r="H64" s="15">
        <f t="shared" si="59"/>
        <v>0.16847826086956522</v>
      </c>
      <c r="I64" s="15">
        <f t="shared" si="59"/>
        <v>0.4050632911392405</v>
      </c>
      <c r="J64" s="15">
        <f t="shared" si="59"/>
        <v>0.21505376344086022</v>
      </c>
      <c r="K64" s="53">
        <v>0.21</v>
      </c>
      <c r="L64" s="54">
        <v>0.21</v>
      </c>
      <c r="M64" s="54">
        <v>0.21</v>
      </c>
      <c r="N64" s="54">
        <v>0.21</v>
      </c>
      <c r="O64" s="54">
        <v>0.21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ht="13.2">
      <c r="A65" s="23"/>
      <c r="B65" s="23" t="s">
        <v>40</v>
      </c>
      <c r="C65" s="23"/>
      <c r="D65" s="23"/>
      <c r="E65" s="23"/>
      <c r="F65" s="23"/>
      <c r="G65" s="23"/>
      <c r="H65" s="23">
        <v>222</v>
      </c>
      <c r="I65" s="23">
        <v>184</v>
      </c>
      <c r="J65" s="23">
        <v>0</v>
      </c>
      <c r="K65" s="24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3.2">
      <c r="A66" s="23"/>
      <c r="B66" s="23" t="s">
        <v>41</v>
      </c>
      <c r="C66" s="23"/>
      <c r="D66" s="23"/>
      <c r="E66" s="23"/>
      <c r="F66" s="23"/>
      <c r="G66" s="23"/>
      <c r="H66" s="23"/>
      <c r="I66" s="23"/>
      <c r="J66" s="23">
        <v>44</v>
      </c>
      <c r="K66" s="24">
        <v>44</v>
      </c>
      <c r="L66" s="23">
        <v>44</v>
      </c>
      <c r="M66" s="23">
        <v>44</v>
      </c>
      <c r="N66" s="23">
        <v>44</v>
      </c>
      <c r="O66" s="23">
        <v>44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3.2">
      <c r="B67" s="4"/>
      <c r="K67" s="1"/>
    </row>
    <row r="68" spans="1:30" ht="13.2">
      <c r="B68" s="4" t="s">
        <v>42</v>
      </c>
      <c r="C68" s="23">
        <f t="shared" ref="C68:G68" si="60">C62-C63</f>
        <v>106</v>
      </c>
      <c r="D68" s="23">
        <f t="shared" si="60"/>
        <v>104</v>
      </c>
      <c r="E68" s="23">
        <f t="shared" si="60"/>
        <v>112</v>
      </c>
      <c r="F68" s="23">
        <f t="shared" si="60"/>
        <v>136</v>
      </c>
      <c r="G68" s="23">
        <f t="shared" si="60"/>
        <v>-67</v>
      </c>
      <c r="H68" s="23">
        <f t="shared" ref="H68:I68" si="61">H62-H63-H65</f>
        <v>-375</v>
      </c>
      <c r="I68" s="23">
        <f t="shared" si="61"/>
        <v>-137</v>
      </c>
      <c r="J68" s="23">
        <f>J62-J63-J66-J65</f>
        <v>29</v>
      </c>
      <c r="K68" s="24">
        <f t="shared" ref="K68:O68" si="62">K62-K63</f>
        <v>143.27341250000003</v>
      </c>
      <c r="L68" s="23">
        <f t="shared" si="62"/>
        <v>273.09538439999994</v>
      </c>
      <c r="M68" s="23">
        <f t="shared" si="62"/>
        <v>401.8016088634198</v>
      </c>
      <c r="N68" s="23">
        <f t="shared" si="62"/>
        <v>491.60825270607046</v>
      </c>
      <c r="O68" s="23">
        <f t="shared" si="62"/>
        <v>567.03222461665962</v>
      </c>
    </row>
    <row r="69" spans="1:30" ht="13.2">
      <c r="B69" s="4" t="s">
        <v>43</v>
      </c>
      <c r="C69" s="15">
        <f t="shared" ref="C69:O69" si="63">C68/C48</f>
        <v>4.3282972641894651E-2</v>
      </c>
      <c r="D69" s="15">
        <f t="shared" si="63"/>
        <v>3.9877300613496931E-2</v>
      </c>
      <c r="E69" s="15">
        <f t="shared" si="63"/>
        <v>3.6769533814839134E-2</v>
      </c>
      <c r="F69" s="15">
        <f t="shared" si="63"/>
        <v>3.6480686695278972E-2</v>
      </c>
      <c r="G69" s="15">
        <f t="shared" si="63"/>
        <v>-1.6373411534701857E-2</v>
      </c>
      <c r="H69" s="15">
        <f t="shared" si="63"/>
        <v>-0.10454418734318371</v>
      </c>
      <c r="I69" s="15">
        <f t="shared" si="63"/>
        <v>-3.4771573604060912E-2</v>
      </c>
      <c r="J69" s="15">
        <f t="shared" si="63"/>
        <v>4.4220799024092712E-3</v>
      </c>
      <c r="K69" s="21">
        <f t="shared" si="63"/>
        <v>2.0800965834643016E-2</v>
      </c>
      <c r="L69" s="15">
        <f t="shared" si="63"/>
        <v>3.7206942270634591E-2</v>
      </c>
      <c r="M69" s="15">
        <f t="shared" si="63"/>
        <v>5.1716431814551107E-2</v>
      </c>
      <c r="N69" s="15">
        <f t="shared" si="63"/>
        <v>5.9192437189510387E-2</v>
      </c>
      <c r="O69" s="15">
        <f t="shared" si="63"/>
        <v>6.4708937000379871E-2</v>
      </c>
    </row>
    <row r="70" spans="1:30" ht="13.2">
      <c r="B70" s="4" t="s">
        <v>44</v>
      </c>
      <c r="H70" s="55">
        <f t="shared" ref="H70:O70" si="64">H68/H72</f>
        <v>-2.2189349112426036</v>
      </c>
      <c r="I70" s="55">
        <f t="shared" si="64"/>
        <v>-0.66504854368932043</v>
      </c>
      <c r="J70" s="55">
        <f t="shared" si="64"/>
        <v>0.12446351931330472</v>
      </c>
      <c r="K70" s="56">
        <f t="shared" si="64"/>
        <v>0.57467976615458682</v>
      </c>
      <c r="L70" s="55">
        <f t="shared" si="64"/>
        <v>1.0334008066035842</v>
      </c>
      <c r="M70" s="55">
        <f t="shared" si="64"/>
        <v>1.4480274951982288</v>
      </c>
      <c r="N70" s="55">
        <f t="shared" si="64"/>
        <v>1.7035346144274863</v>
      </c>
      <c r="O70" s="55">
        <f t="shared" si="64"/>
        <v>1.9076658867464309</v>
      </c>
    </row>
    <row r="71" spans="1:30" ht="13.2">
      <c r="B71" s="4" t="s">
        <v>3</v>
      </c>
      <c r="H71" s="4"/>
      <c r="I71" s="45">
        <f t="shared" ref="I71:O71" si="65">I70/H70-1</f>
        <v>-0.70028478964401297</v>
      </c>
      <c r="J71" s="45">
        <f t="shared" si="65"/>
        <v>-1.1871495253908086</v>
      </c>
      <c r="K71" s="44">
        <f t="shared" si="65"/>
        <v>3.6172546728971975</v>
      </c>
      <c r="L71" s="45">
        <f t="shared" si="65"/>
        <v>0.79822027408148388</v>
      </c>
      <c r="M71" s="45">
        <f t="shared" si="65"/>
        <v>0.40122543542168598</v>
      </c>
      <c r="N71" s="45">
        <f t="shared" si="65"/>
        <v>0.17645184230032851</v>
      </c>
      <c r="O71" s="45">
        <f t="shared" si="65"/>
        <v>0.11982807428162978</v>
      </c>
    </row>
    <row r="72" spans="1:30" ht="13.2">
      <c r="B72" s="4" t="s">
        <v>45</v>
      </c>
      <c r="H72" s="4">
        <v>169</v>
      </c>
      <c r="I72" s="4">
        <v>206</v>
      </c>
      <c r="J72" s="4">
        <v>233</v>
      </c>
      <c r="K72" s="57">
        <f>J72*1.07</f>
        <v>249.31</v>
      </c>
      <c r="L72" s="58">
        <f>K72*1.06</f>
        <v>264.26859999999999</v>
      </c>
      <c r="M72" s="58">
        <f>L72*1.05</f>
        <v>277.48203000000001</v>
      </c>
      <c r="N72" s="58">
        <f>M72*1.04</f>
        <v>288.58131120000002</v>
      </c>
      <c r="O72" s="58">
        <f>N72*1.03</f>
        <v>297.238750536</v>
      </c>
    </row>
    <row r="73" spans="1:30" ht="13.2">
      <c r="K73" s="1"/>
    </row>
    <row r="74" spans="1:30" ht="13.2">
      <c r="B74" s="4" t="s">
        <v>46</v>
      </c>
      <c r="E74" s="23">
        <f t="shared" ref="E74:J74" si="66">E58-E63</f>
        <v>115</v>
      </c>
      <c r="F74" s="23">
        <f t="shared" si="66"/>
        <v>152</v>
      </c>
      <c r="G74" s="23">
        <f t="shared" si="66"/>
        <v>-68</v>
      </c>
      <c r="H74" s="23">
        <f t="shared" si="66"/>
        <v>-135</v>
      </c>
      <c r="I74" s="23">
        <f t="shared" si="66"/>
        <v>104</v>
      </c>
      <c r="J74" s="23">
        <f t="shared" si="66"/>
        <v>142</v>
      </c>
      <c r="K74" s="24">
        <f t="shared" ref="K74:O74" si="67">K58*0.79</f>
        <v>255.50476250000006</v>
      </c>
      <c r="L74" s="23">
        <f t="shared" si="67"/>
        <v>376.63673439999997</v>
      </c>
      <c r="M74" s="23">
        <f t="shared" si="67"/>
        <v>494.76978042443244</v>
      </c>
      <c r="N74" s="23">
        <f t="shared" si="67"/>
        <v>585.65236366288173</v>
      </c>
      <c r="O74" s="23">
        <f t="shared" si="67"/>
        <v>671.95109682744328</v>
      </c>
    </row>
    <row r="75" spans="1:30" ht="13.2" hidden="1">
      <c r="A75" s="23"/>
      <c r="B75" s="23" t="s">
        <v>47</v>
      </c>
      <c r="C75" s="23"/>
      <c r="D75" s="23"/>
      <c r="E75" s="23">
        <f t="shared" ref="E75:G75" si="68">E9</f>
        <v>12</v>
      </c>
      <c r="F75" s="23">
        <f t="shared" si="68"/>
        <v>19</v>
      </c>
      <c r="G75" s="23">
        <f t="shared" si="68"/>
        <v>33</v>
      </c>
      <c r="H75" s="23">
        <v>119</v>
      </c>
      <c r="I75" s="23">
        <v>74</v>
      </c>
      <c r="J75" s="23">
        <f>26+167</f>
        <v>193</v>
      </c>
      <c r="K75" s="24">
        <f t="shared" ref="K75:O75" si="69">K76*K4</f>
        <v>193.065</v>
      </c>
      <c r="L75" s="23">
        <f t="shared" si="69"/>
        <v>203.68357499999999</v>
      </c>
      <c r="M75" s="23">
        <f t="shared" si="69"/>
        <v>214.88617162499995</v>
      </c>
      <c r="N75" s="23">
        <f t="shared" si="69"/>
        <v>226.70491106437495</v>
      </c>
      <c r="O75" s="23">
        <f t="shared" si="69"/>
        <v>238.04015661759371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13.2" hidden="1">
      <c r="A76" s="20"/>
      <c r="B76" s="59" t="s">
        <v>48</v>
      </c>
      <c r="C76" s="20"/>
      <c r="D76" s="20"/>
      <c r="E76" s="15">
        <f t="shared" ref="E76:J76" si="70">E75/E4</f>
        <v>7.4953154278575894E-3</v>
      </c>
      <c r="F76" s="15">
        <f t="shared" si="70"/>
        <v>1.1143695014662757E-2</v>
      </c>
      <c r="G76" s="15">
        <f t="shared" si="70"/>
        <v>1.8570624648283626E-2</v>
      </c>
      <c r="H76" s="15">
        <f t="shared" si="70"/>
        <v>7.2605247101891396E-2</v>
      </c>
      <c r="I76" s="15">
        <f t="shared" si="70"/>
        <v>3.5576923076923075E-2</v>
      </c>
      <c r="J76" s="15">
        <f t="shared" si="70"/>
        <v>4.2185792349726775E-2</v>
      </c>
      <c r="K76" s="21">
        <f t="shared" ref="K76:O76" si="71">K10</f>
        <v>0.04</v>
      </c>
      <c r="L76" s="15">
        <f t="shared" si="71"/>
        <v>0.04</v>
      </c>
      <c r="M76" s="15">
        <f t="shared" si="71"/>
        <v>0.04</v>
      </c>
      <c r="N76" s="15">
        <f t="shared" si="71"/>
        <v>0.04</v>
      </c>
      <c r="O76" s="15">
        <f t="shared" si="71"/>
        <v>0.04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ht="13.2" hidden="1">
      <c r="A77" s="23"/>
      <c r="B77" s="23" t="s">
        <v>49</v>
      </c>
      <c r="C77" s="23"/>
      <c r="D77" s="23"/>
      <c r="E77" s="23">
        <f t="shared" ref="E77:G77" si="72">E23</f>
        <v>55</v>
      </c>
      <c r="F77" s="23">
        <f t="shared" si="72"/>
        <v>87</v>
      </c>
      <c r="G77" s="23">
        <f t="shared" si="72"/>
        <v>104</v>
      </c>
      <c r="H77" s="23">
        <f>65+71</f>
        <v>136</v>
      </c>
      <c r="I77" s="23">
        <f>57+61</f>
        <v>118</v>
      </c>
      <c r="J77" s="23">
        <f>46+56</f>
        <v>102</v>
      </c>
      <c r="K77" s="24">
        <f t="shared" ref="K77:O77" si="73">K78*K18</f>
        <v>105.56000000000002</v>
      </c>
      <c r="L77" s="23">
        <f t="shared" si="73"/>
        <v>105.56000000000002</v>
      </c>
      <c r="M77" s="23">
        <f t="shared" si="73"/>
        <v>109.78240000000001</v>
      </c>
      <c r="N77" s="23">
        <f t="shared" si="73"/>
        <v>114.17369600000002</v>
      </c>
      <c r="O77" s="23">
        <f t="shared" si="73"/>
        <v>118.74064384000003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13.2" hidden="1">
      <c r="A78" s="20"/>
      <c r="B78" s="59" t="s">
        <v>48</v>
      </c>
      <c r="C78" s="20"/>
      <c r="D78" s="20"/>
      <c r="E78" s="15">
        <f t="shared" ref="E78:J78" si="74">E77/E18</f>
        <v>3.6642238507661559E-2</v>
      </c>
      <c r="F78" s="15">
        <f t="shared" si="74"/>
        <v>4.1786743515850142E-2</v>
      </c>
      <c r="G78" s="15">
        <f t="shared" si="74"/>
        <v>4.4635193133047209E-2</v>
      </c>
      <c r="H78" s="15">
        <f t="shared" si="74"/>
        <v>6.9246435845213852E-2</v>
      </c>
      <c r="I78" s="15">
        <f t="shared" si="74"/>
        <v>6.1139896373056994E-2</v>
      </c>
      <c r="J78" s="15">
        <f t="shared" si="74"/>
        <v>5.024630541871921E-2</v>
      </c>
      <c r="K78" s="60">
        <f t="shared" ref="K78:O78" si="75">K24</f>
        <v>0.05</v>
      </c>
      <c r="L78" s="61">
        <f t="shared" si="75"/>
        <v>0.05</v>
      </c>
      <c r="M78" s="61">
        <f t="shared" si="75"/>
        <v>0.05</v>
      </c>
      <c r="N78" s="61">
        <f t="shared" si="75"/>
        <v>0.05</v>
      </c>
      <c r="O78" s="61">
        <f t="shared" si="75"/>
        <v>0.05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ht="13.2">
      <c r="B79" s="4" t="s">
        <v>50</v>
      </c>
      <c r="E79" s="23">
        <f t="shared" ref="E79:O79" si="76">E75+E77</f>
        <v>67</v>
      </c>
      <c r="F79" s="23">
        <f t="shared" si="76"/>
        <v>106</v>
      </c>
      <c r="G79" s="23">
        <f t="shared" si="76"/>
        <v>137</v>
      </c>
      <c r="H79" s="23">
        <f t="shared" si="76"/>
        <v>255</v>
      </c>
      <c r="I79" s="23">
        <f t="shared" si="76"/>
        <v>192</v>
      </c>
      <c r="J79" s="23">
        <f t="shared" si="76"/>
        <v>295</v>
      </c>
      <c r="K79" s="24">
        <f t="shared" si="76"/>
        <v>298.625</v>
      </c>
      <c r="L79" s="23">
        <f t="shared" si="76"/>
        <v>309.24357500000002</v>
      </c>
      <c r="M79" s="23">
        <f t="shared" si="76"/>
        <v>324.66857162499997</v>
      </c>
      <c r="N79" s="23">
        <f t="shared" si="76"/>
        <v>340.87860706437499</v>
      </c>
      <c r="O79" s="23">
        <f t="shared" si="76"/>
        <v>356.78080045759373</v>
      </c>
    </row>
    <row r="80" spans="1:30" ht="13.2">
      <c r="B80" s="4" t="s">
        <v>51</v>
      </c>
      <c r="E80" s="25">
        <f t="shared" ref="E80:O80" si="77">E79/E48</f>
        <v>2.1996060407091268E-2</v>
      </c>
      <c r="F80" s="25">
        <f t="shared" si="77"/>
        <v>2.8433476394849784E-2</v>
      </c>
      <c r="G80" s="25">
        <f t="shared" si="77"/>
        <v>3.3479960899315736E-2</v>
      </c>
      <c r="H80" s="25">
        <f t="shared" si="77"/>
        <v>7.1090047393364927E-2</v>
      </c>
      <c r="I80" s="25">
        <f t="shared" si="77"/>
        <v>4.8730964467005075E-2</v>
      </c>
      <c r="J80" s="25">
        <f t="shared" si="77"/>
        <v>4.4983226593473619E-2</v>
      </c>
      <c r="K80" s="26">
        <f t="shared" si="77"/>
        <v>4.3355485948031486E-2</v>
      </c>
      <c r="L80" s="27">
        <f t="shared" si="77"/>
        <v>4.2131828290942225E-2</v>
      </c>
      <c r="M80" s="27">
        <f t="shared" si="77"/>
        <v>4.1788533635462616E-2</v>
      </c>
      <c r="N80" s="27">
        <f t="shared" si="77"/>
        <v>4.1043728267047164E-2</v>
      </c>
      <c r="O80" s="27">
        <f t="shared" si="77"/>
        <v>4.0715333869011348E-2</v>
      </c>
    </row>
    <row r="81" spans="1:30" ht="13.2" hidden="1">
      <c r="B81" s="4" t="s">
        <v>52</v>
      </c>
      <c r="E81" s="23">
        <f t="shared" ref="E81:O81" si="78">E11</f>
        <v>6</v>
      </c>
      <c r="F81" s="23">
        <f t="shared" si="78"/>
        <v>9</v>
      </c>
      <c r="G81" s="23">
        <f t="shared" si="78"/>
        <v>5</v>
      </c>
      <c r="H81" s="23">
        <f t="shared" si="78"/>
        <v>2</v>
      </c>
      <c r="I81" s="23">
        <f t="shared" si="78"/>
        <v>6</v>
      </c>
      <c r="J81" s="23">
        <f t="shared" si="78"/>
        <v>25</v>
      </c>
      <c r="K81" s="24">
        <f t="shared" si="78"/>
        <v>24.133125</v>
      </c>
      <c r="L81" s="23">
        <f t="shared" si="78"/>
        <v>25.460446874999999</v>
      </c>
      <c r="M81" s="23">
        <f t="shared" si="78"/>
        <v>26.860771453124993</v>
      </c>
      <c r="N81" s="23">
        <f t="shared" si="78"/>
        <v>28.338113883046869</v>
      </c>
      <c r="O81" s="23">
        <f t="shared" si="78"/>
        <v>29.755019577199214</v>
      </c>
    </row>
    <row r="82" spans="1:30" ht="13.2" hidden="1">
      <c r="B82" s="59" t="s">
        <v>48</v>
      </c>
      <c r="E82" s="25">
        <f t="shared" ref="E82:O82" si="79">E12</f>
        <v>3.7476577139287947E-3</v>
      </c>
      <c r="F82" s="25">
        <f t="shared" si="79"/>
        <v>5.2785923753665689E-3</v>
      </c>
      <c r="G82" s="25">
        <f t="shared" si="79"/>
        <v>2.8137310073157004E-3</v>
      </c>
      <c r="H82" s="25">
        <f t="shared" si="79"/>
        <v>1.2202562538133007E-3</v>
      </c>
      <c r="I82" s="25">
        <f t="shared" si="79"/>
        <v>2.8846153846153848E-3</v>
      </c>
      <c r="J82" s="25">
        <f t="shared" si="79"/>
        <v>5.4644808743169399E-3</v>
      </c>
      <c r="K82" s="29">
        <f t="shared" si="79"/>
        <v>5.0000000000000001E-3</v>
      </c>
      <c r="L82" s="25">
        <f t="shared" si="79"/>
        <v>5.0000000000000001E-3</v>
      </c>
      <c r="M82" s="25">
        <f t="shared" si="79"/>
        <v>5.0000000000000001E-3</v>
      </c>
      <c r="N82" s="25">
        <f t="shared" si="79"/>
        <v>5.0000000000000001E-3</v>
      </c>
      <c r="O82" s="25">
        <f t="shared" si="79"/>
        <v>5.0000000000000001E-3</v>
      </c>
    </row>
    <row r="83" spans="1:30" ht="13.2" hidden="1">
      <c r="B83" s="4" t="s">
        <v>53</v>
      </c>
      <c r="E83" s="23">
        <f t="shared" ref="E83:O83" si="80">E25</f>
        <v>26</v>
      </c>
      <c r="F83" s="23">
        <f t="shared" si="80"/>
        <v>64</v>
      </c>
      <c r="G83" s="23">
        <f t="shared" si="80"/>
        <v>58</v>
      </c>
      <c r="H83" s="23">
        <f t="shared" si="80"/>
        <v>34</v>
      </c>
      <c r="I83" s="23">
        <f t="shared" si="80"/>
        <v>48</v>
      </c>
      <c r="J83" s="23">
        <f t="shared" si="80"/>
        <v>49</v>
      </c>
      <c r="K83" s="24">
        <f t="shared" si="80"/>
        <v>52.780000000000008</v>
      </c>
      <c r="L83" s="23">
        <f t="shared" si="80"/>
        <v>52.780000000000008</v>
      </c>
      <c r="M83" s="23">
        <f t="shared" si="80"/>
        <v>54.891200000000005</v>
      </c>
      <c r="N83" s="23">
        <f t="shared" si="80"/>
        <v>57.08684800000001</v>
      </c>
      <c r="O83" s="23">
        <f t="shared" si="80"/>
        <v>59.370321920000016</v>
      </c>
    </row>
    <row r="84" spans="1:30" ht="13.2" hidden="1">
      <c r="B84" s="59" t="s">
        <v>48</v>
      </c>
      <c r="E84" s="25">
        <f>E83/E18</f>
        <v>1.7321785476349102E-2</v>
      </c>
      <c r="F84" s="25">
        <f t="shared" ref="F84:O84" si="81">F26</f>
        <v>3.073967339097022E-2</v>
      </c>
      <c r="G84" s="25">
        <f t="shared" si="81"/>
        <v>2.4892703862660945E-2</v>
      </c>
      <c r="H84" s="25">
        <f t="shared" si="81"/>
        <v>1.7311608961303463E-2</v>
      </c>
      <c r="I84" s="25">
        <f t="shared" si="81"/>
        <v>2.4870466321243522E-2</v>
      </c>
      <c r="J84" s="25">
        <f t="shared" si="81"/>
        <v>2.4137931034482758E-2</v>
      </c>
      <c r="K84" s="29">
        <f t="shared" si="81"/>
        <v>2.5000000000000001E-2</v>
      </c>
      <c r="L84" s="25">
        <f t="shared" si="81"/>
        <v>2.5000000000000001E-2</v>
      </c>
      <c r="M84" s="25">
        <f t="shared" si="81"/>
        <v>2.5000000000000001E-2</v>
      </c>
      <c r="N84" s="25">
        <f t="shared" si="81"/>
        <v>2.5000000000000001E-2</v>
      </c>
      <c r="O84" s="25">
        <f t="shared" si="81"/>
        <v>2.5000000000000001E-2</v>
      </c>
    </row>
    <row r="85" spans="1:30" ht="13.2">
      <c r="K85" s="1"/>
    </row>
    <row r="86" spans="1:30" ht="13.2">
      <c r="B86" s="4" t="s">
        <v>54</v>
      </c>
      <c r="E86" s="23">
        <f t="shared" ref="E86:O86" si="82">E83+E81</f>
        <v>32</v>
      </c>
      <c r="F86" s="23">
        <f t="shared" si="82"/>
        <v>73</v>
      </c>
      <c r="G86" s="23">
        <f t="shared" si="82"/>
        <v>63</v>
      </c>
      <c r="H86" s="23">
        <f t="shared" si="82"/>
        <v>36</v>
      </c>
      <c r="I86" s="23">
        <f t="shared" si="82"/>
        <v>54</v>
      </c>
      <c r="J86" s="23">
        <f t="shared" si="82"/>
        <v>74</v>
      </c>
      <c r="K86" s="24">
        <f t="shared" si="82"/>
        <v>76.913125000000008</v>
      </c>
      <c r="L86" s="23">
        <f t="shared" si="82"/>
        <v>78.240446875000004</v>
      </c>
      <c r="M86" s="23">
        <f t="shared" si="82"/>
        <v>81.751971453124995</v>
      </c>
      <c r="N86" s="23">
        <f t="shared" si="82"/>
        <v>85.424961883046876</v>
      </c>
      <c r="O86" s="23">
        <f t="shared" si="82"/>
        <v>89.12534149719923</v>
      </c>
    </row>
    <row r="87" spans="1:30" ht="13.2">
      <c r="A87" s="25"/>
      <c r="B87" s="25" t="s">
        <v>51</v>
      </c>
      <c r="C87" s="25"/>
      <c r="D87" s="25"/>
      <c r="E87" s="25">
        <f t="shared" ref="E87:O87" si="83">E86/E48</f>
        <v>1.0505581089954037E-2</v>
      </c>
      <c r="F87" s="25">
        <f t="shared" si="83"/>
        <v>1.9581545064377683E-2</v>
      </c>
      <c r="G87" s="25">
        <f t="shared" si="83"/>
        <v>1.5395894428152493E-2</v>
      </c>
      <c r="H87" s="25">
        <f t="shared" si="83"/>
        <v>1.0036241984945637E-2</v>
      </c>
      <c r="I87" s="25">
        <f t="shared" si="83"/>
        <v>1.3705583756345178E-2</v>
      </c>
      <c r="J87" s="25">
        <f t="shared" si="83"/>
        <v>1.1283928026837451E-2</v>
      </c>
      <c r="K87" s="26">
        <f t="shared" si="83"/>
        <v>1.1166532976665347E-2</v>
      </c>
      <c r="L87" s="27">
        <f t="shared" si="83"/>
        <v>1.0659600844234474E-2</v>
      </c>
      <c r="M87" s="27">
        <f t="shared" si="83"/>
        <v>1.0522407486919296E-2</v>
      </c>
      <c r="N87" s="27">
        <f t="shared" si="83"/>
        <v>1.02856525756939E-2</v>
      </c>
      <c r="O87" s="27">
        <f t="shared" si="83"/>
        <v>1.0170861298012663E-2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13.2">
      <c r="B88" s="4"/>
      <c r="K88" s="1"/>
    </row>
    <row r="89" spans="1:30" ht="13.2">
      <c r="B89" s="4" t="s">
        <v>55</v>
      </c>
      <c r="K89" s="24">
        <f t="shared" ref="K89:O89" si="84">K90*K48</f>
        <v>172.19562500000004</v>
      </c>
      <c r="L89" s="23">
        <f t="shared" si="84"/>
        <v>183.49760000000003</v>
      </c>
      <c r="M89" s="23">
        <f t="shared" si="84"/>
        <v>194.23304874562498</v>
      </c>
      <c r="N89" s="23">
        <f t="shared" si="84"/>
        <v>207.63136139002796</v>
      </c>
      <c r="O89" s="23">
        <f t="shared" si="84"/>
        <v>219.07029032687205</v>
      </c>
    </row>
    <row r="90" spans="1:30" ht="13.2">
      <c r="B90" s="4" t="s">
        <v>51</v>
      </c>
      <c r="K90" s="26">
        <v>2.5000000000000001E-2</v>
      </c>
      <c r="L90" s="27">
        <v>2.5000000000000001E-2</v>
      </c>
      <c r="M90" s="27">
        <v>2.5000000000000001E-2</v>
      </c>
      <c r="N90" s="27">
        <v>2.5000000000000001E-2</v>
      </c>
      <c r="O90" s="27">
        <v>2.5000000000000001E-2</v>
      </c>
    </row>
    <row r="91" spans="1:30" ht="13.2">
      <c r="B91" s="4" t="s">
        <v>56</v>
      </c>
      <c r="K91" s="1"/>
      <c r="L91" s="23">
        <f t="shared" ref="L91:O91" si="85">L89-K89</f>
        <v>11.301974999999999</v>
      </c>
      <c r="M91" s="23">
        <f t="shared" si="85"/>
        <v>10.73544874562495</v>
      </c>
      <c r="N91" s="23">
        <f t="shared" si="85"/>
        <v>13.398312644402978</v>
      </c>
      <c r="O91" s="23">
        <f t="shared" si="85"/>
        <v>11.438928936844093</v>
      </c>
    </row>
    <row r="92" spans="1:30" ht="13.2">
      <c r="K92" s="1"/>
    </row>
    <row r="93" spans="1:30" ht="13.2">
      <c r="B93" s="4" t="s">
        <v>57</v>
      </c>
      <c r="E93" s="23">
        <f t="shared" ref="E93:J93" si="86">E74+E75+E77-E81-E83+E89</f>
        <v>150</v>
      </c>
      <c r="F93" s="23">
        <f t="shared" si="86"/>
        <v>185</v>
      </c>
      <c r="G93" s="23">
        <f t="shared" si="86"/>
        <v>6</v>
      </c>
      <c r="H93" s="23">
        <f t="shared" si="86"/>
        <v>84</v>
      </c>
      <c r="I93" s="23">
        <f t="shared" si="86"/>
        <v>242</v>
      </c>
      <c r="J93" s="23">
        <f t="shared" si="86"/>
        <v>363</v>
      </c>
      <c r="K93" s="24">
        <f t="shared" ref="K93:O93" si="87">K74+K75+K77-K81-K83-K91</f>
        <v>477.2166375000001</v>
      </c>
      <c r="L93" s="23">
        <f t="shared" si="87"/>
        <v>596.33788752500004</v>
      </c>
      <c r="M93" s="23">
        <f t="shared" si="87"/>
        <v>726.95093185068242</v>
      </c>
      <c r="N93" s="23">
        <f t="shared" si="87"/>
        <v>827.70769619980695</v>
      </c>
      <c r="O93" s="23">
        <f t="shared" si="87"/>
        <v>928.16762685099388</v>
      </c>
    </row>
    <row r="94" spans="1:30" ht="13.2">
      <c r="B94" s="4" t="s">
        <v>58</v>
      </c>
      <c r="E94" s="25">
        <f t="shared" ref="E94:O94" si="88">E93/E48</f>
        <v>4.9244911359159552E-2</v>
      </c>
      <c r="F94" s="25">
        <f t="shared" si="88"/>
        <v>4.9624463519313301E-2</v>
      </c>
      <c r="G94" s="25">
        <f t="shared" si="88"/>
        <v>1.4662756598240469E-3</v>
      </c>
      <c r="H94" s="25">
        <f t="shared" si="88"/>
        <v>2.3417897964873154E-2</v>
      </c>
      <c r="I94" s="25">
        <f t="shared" si="88"/>
        <v>6.1421319796954317E-2</v>
      </c>
      <c r="J94" s="25">
        <f t="shared" si="88"/>
        <v>5.5352241537053981E-2</v>
      </c>
      <c r="K94" s="29">
        <f t="shared" si="88"/>
        <v>6.9284082783752504E-2</v>
      </c>
      <c r="L94" s="25">
        <f t="shared" si="88"/>
        <v>8.1246006422563563E-2</v>
      </c>
      <c r="M94" s="25">
        <f t="shared" si="88"/>
        <v>9.3566843612016448E-2</v>
      </c>
      <c r="N94" s="25">
        <f t="shared" si="88"/>
        <v>9.9660726907842709E-2</v>
      </c>
      <c r="O94" s="25">
        <f t="shared" si="88"/>
        <v>0.10592121203040432</v>
      </c>
    </row>
    <row r="95" spans="1:30" ht="13.2">
      <c r="B95" s="4" t="s">
        <v>59</v>
      </c>
      <c r="F95" s="25">
        <f t="shared" ref="F95:O95" si="89">(F93-E93)/(F48-E48)</f>
        <v>5.1319648093841645E-2</v>
      </c>
      <c r="G95" s="25">
        <f t="shared" si="89"/>
        <v>-0.49175824175824173</v>
      </c>
      <c r="H95" s="25">
        <f t="shared" si="89"/>
        <v>-0.15445544554455445</v>
      </c>
      <c r="I95" s="25">
        <f t="shared" si="89"/>
        <v>0.44759206798866857</v>
      </c>
      <c r="J95" s="25">
        <f t="shared" si="89"/>
        <v>4.6218487394957986E-2</v>
      </c>
      <c r="K95" s="29">
        <f t="shared" si="89"/>
        <v>0.34629466383688273</v>
      </c>
      <c r="L95" s="25">
        <f t="shared" si="89"/>
        <v>0.26349653495296177</v>
      </c>
      <c r="M95" s="25">
        <f t="shared" si="89"/>
        <v>0.30416298242519041</v>
      </c>
      <c r="N95" s="25">
        <f t="shared" si="89"/>
        <v>0.18800271165342372</v>
      </c>
      <c r="O95" s="25">
        <f t="shared" si="89"/>
        <v>0.21955711764152044</v>
      </c>
    </row>
    <row r="96" spans="1:30" ht="13.2">
      <c r="K96" s="1"/>
    </row>
    <row r="97" spans="1:30" ht="13.2">
      <c r="B97" s="4" t="s">
        <v>60</v>
      </c>
      <c r="H97" s="55">
        <f t="shared" ref="H97:O97" si="90">H93/H72</f>
        <v>0.49704142011834318</v>
      </c>
      <c r="I97" s="55">
        <f t="shared" si="90"/>
        <v>1.174757281553398</v>
      </c>
      <c r="J97" s="55">
        <f t="shared" si="90"/>
        <v>1.5579399141630901</v>
      </c>
      <c r="K97" s="56">
        <f t="shared" si="90"/>
        <v>1.9141496029040155</v>
      </c>
      <c r="L97" s="55">
        <f t="shared" si="90"/>
        <v>2.2565597559641972</v>
      </c>
      <c r="M97" s="55">
        <f t="shared" si="90"/>
        <v>2.6198126482305266</v>
      </c>
      <c r="N97" s="55">
        <f t="shared" si="90"/>
        <v>2.8681957703982008</v>
      </c>
      <c r="O97" s="55">
        <f t="shared" si="90"/>
        <v>3.1226333214537552</v>
      </c>
    </row>
    <row r="98" spans="1:30" ht="13.2">
      <c r="B98" s="4" t="s">
        <v>61</v>
      </c>
      <c r="K98" s="1"/>
      <c r="M98" s="58">
        <f>M108/M97</f>
        <v>12.754443339638669</v>
      </c>
    </row>
    <row r="99" spans="1:30" ht="13.2">
      <c r="K99" s="1"/>
    </row>
    <row r="100" spans="1:30" ht="13.2">
      <c r="K100" s="1"/>
    </row>
    <row r="101" spans="1:30" ht="13.2">
      <c r="K101" s="1"/>
    </row>
    <row r="102" spans="1:30" ht="13.2">
      <c r="B102" s="4" t="s">
        <v>24</v>
      </c>
      <c r="C102" s="23">
        <f t="shared" ref="C102:L102" si="91">C58+C75+C77</f>
        <v>112</v>
      </c>
      <c r="D102" s="23">
        <f t="shared" si="91"/>
        <v>106</v>
      </c>
      <c r="E102" s="23">
        <f t="shared" si="91"/>
        <v>190</v>
      </c>
      <c r="F102" s="23">
        <f t="shared" si="91"/>
        <v>268</v>
      </c>
      <c r="G102" s="23">
        <f t="shared" si="91"/>
        <v>78</v>
      </c>
      <c r="H102" s="23">
        <f t="shared" si="91"/>
        <v>89</v>
      </c>
      <c r="I102" s="23">
        <f t="shared" si="91"/>
        <v>328</v>
      </c>
      <c r="J102" s="23">
        <f t="shared" si="91"/>
        <v>457</v>
      </c>
      <c r="K102" s="114">
        <f t="shared" ref="K102:L102" si="92">K58+K79</f>
        <v>622.04875000000004</v>
      </c>
      <c r="L102" s="23">
        <f t="shared" si="92"/>
        <v>785.99893499999996</v>
      </c>
      <c r="M102" s="23">
        <f>M58+M79</f>
        <v>950.95943292174979</v>
      </c>
      <c r="N102" s="23">
        <f t="shared" ref="N102:O102" si="93">N58+N79</f>
        <v>1082.2107129667568</v>
      </c>
      <c r="O102" s="23">
        <f t="shared" si="93"/>
        <v>1207.3518090999269</v>
      </c>
    </row>
    <row r="103" spans="1:30" ht="13.2">
      <c r="A103" s="20"/>
      <c r="B103" s="20" t="s">
        <v>23</v>
      </c>
      <c r="C103" s="15">
        <f t="shared" ref="C103:O103" si="94">C102/C48</f>
        <v>4.5732952225398124E-2</v>
      </c>
      <c r="D103" s="15">
        <f t="shared" si="94"/>
        <v>4.0644171779141106E-2</v>
      </c>
      <c r="E103" s="15">
        <f t="shared" si="94"/>
        <v>6.2376887721602103E-2</v>
      </c>
      <c r="F103" s="15">
        <f t="shared" si="94"/>
        <v>7.1888412017167377E-2</v>
      </c>
      <c r="G103" s="15">
        <f t="shared" si="94"/>
        <v>1.906158357771261E-2</v>
      </c>
      <c r="H103" s="15">
        <f t="shared" si="94"/>
        <v>2.4811820462782269E-2</v>
      </c>
      <c r="I103" s="15">
        <f t="shared" si="94"/>
        <v>8.3248730964466999E-2</v>
      </c>
      <c r="J103" s="15">
        <f t="shared" si="94"/>
        <v>6.9685879841415069E-2</v>
      </c>
      <c r="K103" s="21">
        <f t="shared" si="94"/>
        <v>9.0311346470039522E-2</v>
      </c>
      <c r="L103" s="15">
        <f t="shared" si="94"/>
        <v>0.10708572414571088</v>
      </c>
      <c r="M103" s="15">
        <f t="shared" si="94"/>
        <v>0.12239928259674833</v>
      </c>
      <c r="N103" s="15">
        <f t="shared" si="94"/>
        <v>0.13030434151682213</v>
      </c>
      <c r="O103" s="15">
        <f t="shared" si="94"/>
        <v>0.13778132663475867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ht="13.2">
      <c r="B104" s="4" t="s">
        <v>62</v>
      </c>
      <c r="K104" s="1"/>
      <c r="M104" s="62">
        <v>12</v>
      </c>
    </row>
    <row r="105" spans="1:30" ht="13.2">
      <c r="B105" s="4" t="s">
        <v>63</v>
      </c>
      <c r="H105" s="63"/>
      <c r="I105" s="63"/>
      <c r="J105" s="64"/>
      <c r="K105" s="65"/>
      <c r="L105" s="64"/>
      <c r="M105" s="23">
        <f>M102*M104</f>
        <v>11411.513195060998</v>
      </c>
      <c r="N105" s="63"/>
      <c r="O105" s="63"/>
    </row>
    <row r="106" spans="1:30" ht="13.2">
      <c r="B106" s="4" t="s">
        <v>64</v>
      </c>
      <c r="J106" s="23">
        <v>2789</v>
      </c>
      <c r="K106" s="24">
        <f>J106-206</f>
        <v>2583</v>
      </c>
      <c r="L106" s="23">
        <f>K106-200</f>
        <v>2383</v>
      </c>
      <c r="M106" s="23">
        <f>M102*2.25</f>
        <v>2139.6587240739373</v>
      </c>
      <c r="N106" s="23">
        <f t="shared" ref="N106:O106" si="95">N102*2</f>
        <v>2164.4214259335135</v>
      </c>
      <c r="O106" s="23">
        <f t="shared" si="95"/>
        <v>2414.7036181998537</v>
      </c>
    </row>
    <row r="107" spans="1:30" ht="13.2">
      <c r="B107" s="4" t="s">
        <v>65</v>
      </c>
      <c r="K107" s="1"/>
      <c r="M107" s="23">
        <f>M105-M106</f>
        <v>9271.8544709870603</v>
      </c>
    </row>
    <row r="108" spans="1:30" ht="13.2">
      <c r="B108" s="4" t="s">
        <v>66</v>
      </c>
      <c r="C108" s="66">
        <f ca="1">IFERROR(__xludf.DUMMYFUNCTION("GOOGLEFINANCE(B2)"),20.91)</f>
        <v>20.91</v>
      </c>
      <c r="K108" s="1"/>
      <c r="M108" s="66">
        <f>M107/M72</f>
        <v>33.414251982324984</v>
      </c>
    </row>
    <row r="109" spans="1:30" ht="13.2">
      <c r="B109" s="4" t="s">
        <v>67</v>
      </c>
      <c r="C109" s="67">
        <f ca="1">(M108/C108)^(1/2.75)-1</f>
        <v>0.18584590548586144</v>
      </c>
      <c r="K109" s="1"/>
    </row>
    <row r="110" spans="1:30" ht="13.2">
      <c r="K110" s="1"/>
    </row>
    <row r="111" spans="1:30" ht="13.2">
      <c r="K111" s="1"/>
    </row>
    <row r="112" spans="1:30" ht="13.2">
      <c r="K112" s="1"/>
    </row>
    <row r="113" spans="10:15" ht="13.2">
      <c r="K113" s="1"/>
    </row>
    <row r="114" spans="10:15" ht="13.2">
      <c r="K114" s="1"/>
    </row>
    <row r="115" spans="10:15" ht="13.2">
      <c r="K115" s="1"/>
    </row>
    <row r="116" spans="10:15" ht="13.2">
      <c r="K116" s="1"/>
    </row>
    <row r="117" spans="10:15" ht="13.2">
      <c r="K117" s="1"/>
    </row>
    <row r="118" spans="10:15" ht="13.2">
      <c r="K118" s="1"/>
    </row>
    <row r="119" spans="10:15" ht="13.2">
      <c r="K119" s="1"/>
    </row>
    <row r="120" spans="10:15" ht="13.2">
      <c r="K120" s="1"/>
    </row>
    <row r="121" spans="10:15" ht="13.2">
      <c r="K121" s="1"/>
    </row>
    <row r="122" spans="10:15" ht="13.2">
      <c r="K122" s="1"/>
    </row>
    <row r="123" spans="10:15" ht="13.2">
      <c r="J123" s="68" t="s">
        <v>68</v>
      </c>
      <c r="K123" s="69">
        <v>1</v>
      </c>
      <c r="L123" s="68">
        <f t="shared" ref="L123:O123" si="96">K123*1.1</f>
        <v>1.1000000000000001</v>
      </c>
      <c r="M123" s="68">
        <f t="shared" si="96"/>
        <v>1.2100000000000002</v>
      </c>
      <c r="N123" s="68">
        <f t="shared" si="96"/>
        <v>1.3310000000000004</v>
      </c>
      <c r="O123" s="68">
        <f t="shared" si="96"/>
        <v>1.4641000000000006</v>
      </c>
    </row>
    <row r="124" spans="10:15" ht="13.2">
      <c r="J124" s="68" t="s">
        <v>69</v>
      </c>
      <c r="K124" s="69">
        <v>1</v>
      </c>
      <c r="L124" s="68">
        <f t="shared" ref="L124:O124" si="97">K124*1.025</f>
        <v>1.0249999999999999</v>
      </c>
      <c r="M124" s="68">
        <f t="shared" si="97"/>
        <v>1.0506249999999999</v>
      </c>
      <c r="N124" s="68">
        <f t="shared" si="97"/>
        <v>1.0768906249999999</v>
      </c>
      <c r="O124" s="68">
        <f t="shared" si="97"/>
        <v>1.1038128906249998</v>
      </c>
    </row>
    <row r="125" spans="10:15" ht="13.2">
      <c r="J125" s="68" t="s">
        <v>70</v>
      </c>
      <c r="K125" s="69">
        <f t="shared" ref="K125:O125" si="98">K123+K124</f>
        <v>2</v>
      </c>
      <c r="L125" s="68">
        <f t="shared" si="98"/>
        <v>2.125</v>
      </c>
      <c r="M125" s="68">
        <f t="shared" si="98"/>
        <v>2.2606250000000001</v>
      </c>
      <c r="N125" s="68">
        <f t="shared" si="98"/>
        <v>2.4078906250000003</v>
      </c>
      <c r="O125" s="68">
        <f t="shared" si="98"/>
        <v>2.5679128906250002</v>
      </c>
    </row>
    <row r="126" spans="10:15" ht="13.2">
      <c r="J126" s="68" t="s">
        <v>71</v>
      </c>
      <c r="K126" s="70">
        <f t="shared" ref="K126:O126" si="99">K127+20%</f>
        <v>0.35</v>
      </c>
      <c r="L126" s="71">
        <f t="shared" si="99"/>
        <v>0.35</v>
      </c>
      <c r="M126" s="71">
        <f t="shared" si="99"/>
        <v>0.35</v>
      </c>
      <c r="N126" s="71">
        <f t="shared" si="99"/>
        <v>0.35</v>
      </c>
      <c r="O126" s="71">
        <f t="shared" si="99"/>
        <v>0.35</v>
      </c>
    </row>
    <row r="127" spans="10:15" ht="13.2">
      <c r="J127" s="68" t="s">
        <v>72</v>
      </c>
      <c r="K127" s="70">
        <v>0.15</v>
      </c>
      <c r="L127" s="71">
        <v>0.15</v>
      </c>
      <c r="M127" s="71">
        <v>0.15</v>
      </c>
      <c r="N127" s="71">
        <v>0.15</v>
      </c>
      <c r="O127" s="71">
        <v>0.15</v>
      </c>
    </row>
    <row r="128" spans="10:15" ht="13.2">
      <c r="J128" s="68"/>
      <c r="K128" s="69"/>
      <c r="L128" s="68"/>
      <c r="M128" s="68"/>
      <c r="N128" s="68"/>
      <c r="O128" s="68"/>
    </row>
    <row r="129" spans="10:15" ht="13.2">
      <c r="J129" s="68" t="s">
        <v>73</v>
      </c>
      <c r="K129" s="69">
        <f t="shared" ref="K129:O129" si="100">K123*K126</f>
        <v>0.35</v>
      </c>
      <c r="L129" s="68">
        <f t="shared" si="100"/>
        <v>0.38500000000000001</v>
      </c>
      <c r="M129" s="68">
        <f t="shared" si="100"/>
        <v>0.42350000000000004</v>
      </c>
      <c r="N129" s="68">
        <f t="shared" si="100"/>
        <v>0.4658500000000001</v>
      </c>
      <c r="O129" s="68">
        <f t="shared" si="100"/>
        <v>0.5124350000000002</v>
      </c>
    </row>
    <row r="130" spans="10:15" ht="13.2">
      <c r="J130" s="68" t="s">
        <v>74</v>
      </c>
      <c r="K130" s="69">
        <f t="shared" ref="K130:O130" si="101">K127*K124</f>
        <v>0.15</v>
      </c>
      <c r="L130" s="68">
        <f t="shared" si="101"/>
        <v>0.15374999999999997</v>
      </c>
      <c r="M130" s="68">
        <f t="shared" si="101"/>
        <v>0.15759374999999998</v>
      </c>
      <c r="N130" s="68">
        <f t="shared" si="101"/>
        <v>0.16153359374999998</v>
      </c>
      <c r="O130" s="68">
        <f t="shared" si="101"/>
        <v>0.16557193359374997</v>
      </c>
    </row>
    <row r="131" spans="10:15" ht="13.2">
      <c r="J131" s="68" t="s">
        <v>75</v>
      </c>
      <c r="K131" s="72">
        <f t="shared" ref="K131:O131" si="102">(K129+K130)/K125</f>
        <v>0.25</v>
      </c>
      <c r="L131" s="73">
        <f t="shared" si="102"/>
        <v>0.25352941176470584</v>
      </c>
      <c r="M131" s="73">
        <f t="shared" si="102"/>
        <v>0.25705004147083216</v>
      </c>
      <c r="N131" s="73">
        <f t="shared" si="102"/>
        <v>0.26055319425067325</v>
      </c>
      <c r="O131" s="73">
        <f t="shared" si="102"/>
        <v>0.26403034778517398</v>
      </c>
    </row>
    <row r="132" spans="10:15" ht="13.2">
      <c r="J132" s="68"/>
      <c r="K132" s="69"/>
      <c r="L132" s="68"/>
      <c r="M132" s="68"/>
      <c r="N132" s="68"/>
      <c r="O132" s="68"/>
    </row>
    <row r="133" spans="10:15" ht="13.2">
      <c r="K133" s="1"/>
    </row>
    <row r="134" spans="10:15" ht="13.2">
      <c r="K134" s="1"/>
    </row>
    <row r="135" spans="10:15" ht="13.2">
      <c r="K135" s="1"/>
    </row>
    <row r="136" spans="10:15" ht="13.2">
      <c r="K136" s="1"/>
    </row>
    <row r="137" spans="10:15" ht="13.2">
      <c r="K137" s="1"/>
    </row>
    <row r="138" spans="10:15" ht="13.2">
      <c r="K138" s="1"/>
    </row>
    <row r="139" spans="10:15" ht="13.2">
      <c r="K139" s="1"/>
    </row>
    <row r="140" spans="10:15" ht="13.2">
      <c r="K140" s="1"/>
    </row>
    <row r="141" spans="10:15" ht="13.2">
      <c r="K141" s="1"/>
    </row>
    <row r="142" spans="10:15" ht="13.2">
      <c r="K142" s="1"/>
    </row>
    <row r="143" spans="10:15" ht="13.2">
      <c r="K143" s="1"/>
    </row>
    <row r="144" spans="10:15" ht="13.2">
      <c r="K144" s="1"/>
    </row>
    <row r="145" spans="11:11" ht="13.2">
      <c r="K145" s="1"/>
    </row>
    <row r="146" spans="11:11" ht="13.2">
      <c r="K146" s="1"/>
    </row>
    <row r="147" spans="11:11" ht="13.2">
      <c r="K147" s="1"/>
    </row>
    <row r="148" spans="11:11" ht="13.2">
      <c r="K148" s="1"/>
    </row>
    <row r="149" spans="11:11" ht="13.2">
      <c r="K149" s="1"/>
    </row>
    <row r="150" spans="11:11" ht="13.2">
      <c r="K150" s="1"/>
    </row>
    <row r="151" spans="11:11" ht="13.2">
      <c r="K151" s="1"/>
    </row>
    <row r="152" spans="11:11" ht="13.2">
      <c r="K152" s="1"/>
    </row>
    <row r="153" spans="11:11" ht="13.2">
      <c r="K153" s="1"/>
    </row>
    <row r="154" spans="11:11" ht="13.2">
      <c r="K154" s="1"/>
    </row>
    <row r="155" spans="11:11" ht="13.2">
      <c r="K155" s="1"/>
    </row>
    <row r="156" spans="11:11" ht="13.2">
      <c r="K156" s="1"/>
    </row>
    <row r="157" spans="11:11" ht="13.2">
      <c r="K157" s="1"/>
    </row>
    <row r="158" spans="11:11" ht="13.2">
      <c r="K158" s="1"/>
    </row>
    <row r="159" spans="11:11" ht="13.2">
      <c r="K159" s="1"/>
    </row>
    <row r="160" spans="11:11" ht="13.2">
      <c r="K160" s="1"/>
    </row>
    <row r="161" spans="11:11" ht="13.2">
      <c r="K161" s="1"/>
    </row>
    <row r="162" spans="11:11" ht="13.2">
      <c r="K162" s="1"/>
    </row>
    <row r="163" spans="11:11" ht="13.2">
      <c r="K163" s="1"/>
    </row>
    <row r="164" spans="11:11" ht="13.2">
      <c r="K164" s="1"/>
    </row>
    <row r="165" spans="11:11" ht="13.2">
      <c r="K165" s="1"/>
    </row>
    <row r="166" spans="11:11" ht="13.2">
      <c r="K166" s="1"/>
    </row>
    <row r="167" spans="11:11" ht="13.2">
      <c r="K167" s="1"/>
    </row>
    <row r="168" spans="11:11" ht="13.2">
      <c r="K168" s="1"/>
    </row>
    <row r="169" spans="11:11" ht="13.2">
      <c r="K169" s="1"/>
    </row>
    <row r="170" spans="11:11" ht="13.2">
      <c r="K170" s="1"/>
    </row>
    <row r="171" spans="11:11" ht="13.2">
      <c r="K171" s="1"/>
    </row>
    <row r="172" spans="11:11" ht="13.2">
      <c r="K172" s="1"/>
    </row>
    <row r="173" spans="11:11" ht="13.2">
      <c r="K173" s="1"/>
    </row>
    <row r="174" spans="11:11" ht="13.2">
      <c r="K174" s="1"/>
    </row>
    <row r="175" spans="11:11" ht="13.2">
      <c r="K175" s="1"/>
    </row>
    <row r="176" spans="11:11" ht="13.2">
      <c r="K176" s="1"/>
    </row>
    <row r="177" spans="11:11" ht="13.2">
      <c r="K177" s="1"/>
    </row>
    <row r="178" spans="11:11" ht="13.2">
      <c r="K178" s="1"/>
    </row>
    <row r="179" spans="11:11" ht="13.2">
      <c r="K179" s="1"/>
    </row>
    <row r="180" spans="11:11" ht="13.2">
      <c r="K180" s="1"/>
    </row>
    <row r="181" spans="11:11" ht="13.2">
      <c r="K181" s="1"/>
    </row>
    <row r="182" spans="11:11" ht="13.2">
      <c r="K182" s="1"/>
    </row>
    <row r="183" spans="11:11" ht="13.2">
      <c r="K183" s="1"/>
    </row>
    <row r="184" spans="11:11" ht="13.2">
      <c r="K184" s="1"/>
    </row>
    <row r="185" spans="11:11" ht="13.2">
      <c r="K185" s="1"/>
    </row>
    <row r="186" spans="11:11" ht="13.2">
      <c r="K186" s="1"/>
    </row>
    <row r="187" spans="11:11" ht="13.2">
      <c r="K187" s="1"/>
    </row>
    <row r="188" spans="11:11" ht="13.2">
      <c r="K188" s="1"/>
    </row>
    <row r="189" spans="11:11" ht="13.2">
      <c r="K189" s="1"/>
    </row>
    <row r="190" spans="11:11" ht="13.2">
      <c r="K190" s="1"/>
    </row>
    <row r="191" spans="11:11" ht="13.2">
      <c r="K191" s="1"/>
    </row>
    <row r="192" spans="11:11" ht="13.2">
      <c r="K192" s="1"/>
    </row>
    <row r="193" spans="11:11" ht="13.2">
      <c r="K193" s="1"/>
    </row>
    <row r="194" spans="11:11" ht="13.2">
      <c r="K194" s="1"/>
    </row>
    <row r="195" spans="11:11" ht="13.2">
      <c r="K195" s="1"/>
    </row>
    <row r="196" spans="11:11" ht="13.2">
      <c r="K196" s="1"/>
    </row>
    <row r="197" spans="11:11" ht="13.2">
      <c r="K197" s="1"/>
    </row>
    <row r="198" spans="11:11" ht="13.2">
      <c r="K198" s="1"/>
    </row>
    <row r="199" spans="11:11" ht="13.2">
      <c r="K199" s="1"/>
    </row>
    <row r="200" spans="11:11" ht="13.2">
      <c r="K200" s="1"/>
    </row>
    <row r="201" spans="11:11" ht="13.2">
      <c r="K201" s="1"/>
    </row>
    <row r="202" spans="11:11" ht="13.2">
      <c r="K202" s="1"/>
    </row>
    <row r="203" spans="11:11" ht="13.2">
      <c r="K203" s="1"/>
    </row>
    <row r="204" spans="11:11" ht="13.2">
      <c r="K204" s="1"/>
    </row>
    <row r="205" spans="11:11" ht="13.2">
      <c r="K205" s="1"/>
    </row>
    <row r="206" spans="11:11" ht="13.2">
      <c r="K206" s="1"/>
    </row>
    <row r="207" spans="11:11" ht="13.2">
      <c r="K207" s="1"/>
    </row>
    <row r="208" spans="11:11" ht="13.2">
      <c r="K208" s="1"/>
    </row>
    <row r="209" spans="11:11" ht="13.2">
      <c r="K209" s="1"/>
    </row>
    <row r="210" spans="11:11" ht="13.2">
      <c r="K210" s="1"/>
    </row>
    <row r="211" spans="11:11" ht="13.2">
      <c r="K211" s="1"/>
    </row>
    <row r="212" spans="11:11" ht="13.2">
      <c r="K212" s="1"/>
    </row>
    <row r="213" spans="11:11" ht="13.2">
      <c r="K213" s="1"/>
    </row>
    <row r="214" spans="11:11" ht="13.2">
      <c r="K214" s="1"/>
    </row>
    <row r="215" spans="11:11" ht="13.2">
      <c r="K215" s="1"/>
    </row>
    <row r="216" spans="11:11" ht="13.2">
      <c r="K216" s="1"/>
    </row>
    <row r="217" spans="11:11" ht="13.2">
      <c r="K217" s="1"/>
    </row>
    <row r="218" spans="11:11" ht="13.2">
      <c r="K218" s="1"/>
    </row>
    <row r="219" spans="11:11" ht="13.2">
      <c r="K219" s="1"/>
    </row>
    <row r="220" spans="11:11" ht="13.2">
      <c r="K220" s="1"/>
    </row>
    <row r="221" spans="11:11" ht="13.2">
      <c r="K221" s="1"/>
    </row>
    <row r="222" spans="11:11" ht="13.2">
      <c r="K222" s="1"/>
    </row>
    <row r="223" spans="11:11" ht="13.2">
      <c r="K223" s="1"/>
    </row>
    <row r="224" spans="11:11" ht="13.2">
      <c r="K224" s="1"/>
    </row>
    <row r="225" spans="11:11" ht="13.2">
      <c r="K225" s="1"/>
    </row>
    <row r="226" spans="11:11" ht="13.2">
      <c r="K226" s="1"/>
    </row>
    <row r="227" spans="11:11" ht="13.2">
      <c r="K227" s="1"/>
    </row>
    <row r="228" spans="11:11" ht="13.2">
      <c r="K228" s="1"/>
    </row>
    <row r="229" spans="11:11" ht="13.2">
      <c r="K229" s="1"/>
    </row>
    <row r="230" spans="11:11" ht="13.2">
      <c r="K230" s="1"/>
    </row>
    <row r="231" spans="11:11" ht="13.2">
      <c r="K231" s="1"/>
    </row>
    <row r="232" spans="11:11" ht="13.2">
      <c r="K232" s="1"/>
    </row>
    <row r="233" spans="11:11" ht="13.2">
      <c r="K233" s="1"/>
    </row>
    <row r="234" spans="11:11" ht="13.2">
      <c r="K234" s="1"/>
    </row>
    <row r="235" spans="11:11" ht="13.2">
      <c r="K235" s="1"/>
    </row>
    <row r="236" spans="11:11" ht="13.2">
      <c r="K236" s="1"/>
    </row>
    <row r="237" spans="11:11" ht="13.2">
      <c r="K237" s="1"/>
    </row>
    <row r="238" spans="11:11" ht="13.2">
      <c r="K238" s="1"/>
    </row>
    <row r="239" spans="11:11" ht="13.2">
      <c r="K239" s="1"/>
    </row>
    <row r="240" spans="11:11" ht="13.2">
      <c r="K240" s="1"/>
    </row>
    <row r="241" spans="11:11" ht="13.2">
      <c r="K241" s="1"/>
    </row>
    <row r="242" spans="11:11" ht="13.2">
      <c r="K242" s="1"/>
    </row>
    <row r="243" spans="11:11" ht="13.2">
      <c r="K243" s="1"/>
    </row>
    <row r="244" spans="11:11" ht="13.2">
      <c r="K244" s="1"/>
    </row>
    <row r="245" spans="11:11" ht="13.2">
      <c r="K245" s="1"/>
    </row>
    <row r="246" spans="11:11" ht="13.2">
      <c r="K246" s="1"/>
    </row>
    <row r="247" spans="11:11" ht="13.2">
      <c r="K247" s="1"/>
    </row>
    <row r="248" spans="11:11" ht="13.2">
      <c r="K248" s="1"/>
    </row>
    <row r="249" spans="11:11" ht="13.2">
      <c r="K249" s="1"/>
    </row>
    <row r="250" spans="11:11" ht="13.2">
      <c r="K250" s="1"/>
    </row>
    <row r="251" spans="11:11" ht="13.2">
      <c r="K251" s="1"/>
    </row>
    <row r="252" spans="11:11" ht="13.2">
      <c r="K252" s="1"/>
    </row>
    <row r="253" spans="11:11" ht="13.2">
      <c r="K253" s="1"/>
    </row>
    <row r="254" spans="11:11" ht="13.2">
      <c r="K254" s="1"/>
    </row>
    <row r="255" spans="11:11" ht="13.2">
      <c r="K255" s="1"/>
    </row>
    <row r="256" spans="11:11" ht="13.2">
      <c r="K256" s="1"/>
    </row>
    <row r="257" spans="11:11" ht="13.2">
      <c r="K257" s="1"/>
    </row>
    <row r="258" spans="11:11" ht="13.2">
      <c r="K258" s="1"/>
    </row>
    <row r="259" spans="11:11" ht="13.2">
      <c r="K259" s="1"/>
    </row>
    <row r="260" spans="11:11" ht="13.2">
      <c r="K260" s="1"/>
    </row>
    <row r="261" spans="11:11" ht="13.2">
      <c r="K261" s="1"/>
    </row>
    <row r="262" spans="11:11" ht="13.2">
      <c r="K262" s="1"/>
    </row>
    <row r="263" spans="11:11" ht="13.2">
      <c r="K263" s="1"/>
    </row>
    <row r="264" spans="11:11" ht="13.2">
      <c r="K264" s="1"/>
    </row>
    <row r="265" spans="11:11" ht="13.2">
      <c r="K265" s="1"/>
    </row>
    <row r="266" spans="11:11" ht="13.2">
      <c r="K266" s="1"/>
    </row>
    <row r="267" spans="11:11" ht="13.2">
      <c r="K267" s="1"/>
    </row>
    <row r="268" spans="11:11" ht="13.2">
      <c r="K268" s="1"/>
    </row>
    <row r="269" spans="11:11" ht="13.2">
      <c r="K269" s="1"/>
    </row>
    <row r="270" spans="11:11" ht="13.2">
      <c r="K270" s="1"/>
    </row>
    <row r="271" spans="11:11" ht="13.2">
      <c r="K271" s="1"/>
    </row>
    <row r="272" spans="11:11" ht="13.2">
      <c r="K272" s="1"/>
    </row>
    <row r="273" spans="11:11" ht="13.2">
      <c r="K273" s="1"/>
    </row>
    <row r="274" spans="11:11" ht="13.2">
      <c r="K274" s="1"/>
    </row>
    <row r="275" spans="11:11" ht="13.2">
      <c r="K275" s="1"/>
    </row>
    <row r="276" spans="11:11" ht="13.2">
      <c r="K276" s="1"/>
    </row>
    <row r="277" spans="11:11" ht="13.2">
      <c r="K277" s="1"/>
    </row>
    <row r="278" spans="11:11" ht="13.2">
      <c r="K278" s="1"/>
    </row>
    <row r="279" spans="11:11" ht="13.2">
      <c r="K279" s="1"/>
    </row>
    <row r="280" spans="11:11" ht="13.2">
      <c r="K280" s="1"/>
    </row>
    <row r="281" spans="11:11" ht="13.2">
      <c r="K281" s="1"/>
    </row>
    <row r="282" spans="11:11" ht="13.2">
      <c r="K282" s="1"/>
    </row>
    <row r="283" spans="11:11" ht="13.2">
      <c r="K283" s="1"/>
    </row>
    <row r="284" spans="11:11" ht="13.2">
      <c r="K284" s="1"/>
    </row>
    <row r="285" spans="11:11" ht="13.2">
      <c r="K285" s="1"/>
    </row>
    <row r="286" spans="11:11" ht="13.2">
      <c r="K286" s="1"/>
    </row>
    <row r="287" spans="11:11" ht="13.2">
      <c r="K287" s="1"/>
    </row>
    <row r="288" spans="11:11" ht="13.2">
      <c r="K288" s="1"/>
    </row>
    <row r="289" spans="11:11" ht="13.2">
      <c r="K289" s="1"/>
    </row>
    <row r="290" spans="11:11" ht="13.2">
      <c r="K290" s="1"/>
    </row>
    <row r="291" spans="11:11" ht="13.2">
      <c r="K291" s="1"/>
    </row>
    <row r="292" spans="11:11" ht="13.2">
      <c r="K292" s="1"/>
    </row>
    <row r="293" spans="11:11" ht="13.2">
      <c r="K293" s="1"/>
    </row>
    <row r="294" spans="11:11" ht="13.2">
      <c r="K294" s="1"/>
    </row>
    <row r="295" spans="11:11" ht="13.2">
      <c r="K295" s="1"/>
    </row>
    <row r="296" spans="11:11" ht="13.2">
      <c r="K296" s="1"/>
    </row>
    <row r="297" spans="11:11" ht="13.2">
      <c r="K297" s="1"/>
    </row>
    <row r="298" spans="11:11" ht="13.2">
      <c r="K298" s="1"/>
    </row>
    <row r="299" spans="11:11" ht="13.2">
      <c r="K299" s="1"/>
    </row>
    <row r="300" spans="11:11" ht="13.2">
      <c r="K300" s="1"/>
    </row>
    <row r="301" spans="11:11" ht="13.2">
      <c r="K301" s="1"/>
    </row>
    <row r="302" spans="11:11" ht="13.2">
      <c r="K302" s="1"/>
    </row>
    <row r="303" spans="11:11" ht="13.2">
      <c r="K303" s="1"/>
    </row>
    <row r="304" spans="11:11" ht="13.2">
      <c r="K304" s="1"/>
    </row>
    <row r="305" spans="11:11" ht="13.2">
      <c r="K305" s="1"/>
    </row>
    <row r="306" spans="11:11" ht="13.2">
      <c r="K306" s="1"/>
    </row>
    <row r="307" spans="11:11" ht="13.2">
      <c r="K307" s="1"/>
    </row>
    <row r="308" spans="11:11" ht="13.2">
      <c r="K308" s="1"/>
    </row>
    <row r="309" spans="11:11" ht="13.2">
      <c r="K309" s="1"/>
    </row>
    <row r="310" spans="11:11" ht="13.2">
      <c r="K310" s="1"/>
    </row>
    <row r="311" spans="11:11" ht="13.2">
      <c r="K311" s="1"/>
    </row>
    <row r="312" spans="11:11" ht="13.2">
      <c r="K312" s="1"/>
    </row>
    <row r="313" spans="11:11" ht="13.2">
      <c r="K313" s="1"/>
    </row>
    <row r="314" spans="11:11" ht="13.2">
      <c r="K314" s="1"/>
    </row>
    <row r="315" spans="11:11" ht="13.2">
      <c r="K315" s="1"/>
    </row>
    <row r="316" spans="11:11" ht="13.2">
      <c r="K316" s="1"/>
    </row>
    <row r="317" spans="11:11" ht="13.2">
      <c r="K317" s="1"/>
    </row>
    <row r="318" spans="11:11" ht="13.2">
      <c r="K318" s="1"/>
    </row>
    <row r="319" spans="11:11" ht="13.2">
      <c r="K319" s="1"/>
    </row>
    <row r="320" spans="11:11" ht="13.2">
      <c r="K320" s="1"/>
    </row>
    <row r="321" spans="11:11" ht="13.2">
      <c r="K321" s="1"/>
    </row>
    <row r="322" spans="11:11" ht="13.2">
      <c r="K322" s="1"/>
    </row>
    <row r="323" spans="11:11" ht="13.2">
      <c r="K323" s="1"/>
    </row>
    <row r="324" spans="11:11" ht="13.2">
      <c r="K324" s="1"/>
    </row>
    <row r="325" spans="11:11" ht="13.2">
      <c r="K325" s="1"/>
    </row>
    <row r="326" spans="11:11" ht="13.2">
      <c r="K326" s="1"/>
    </row>
    <row r="327" spans="11:11" ht="13.2">
      <c r="K327" s="1"/>
    </row>
    <row r="328" spans="11:11" ht="13.2">
      <c r="K328" s="1"/>
    </row>
    <row r="329" spans="11:11" ht="13.2">
      <c r="K329" s="1"/>
    </row>
    <row r="330" spans="11:11" ht="13.2">
      <c r="K330" s="1"/>
    </row>
    <row r="331" spans="11:11" ht="13.2">
      <c r="K331" s="1"/>
    </row>
    <row r="332" spans="11:11" ht="13.2">
      <c r="K332" s="1"/>
    </row>
    <row r="333" spans="11:11" ht="13.2">
      <c r="K333" s="1"/>
    </row>
    <row r="334" spans="11:11" ht="13.2">
      <c r="K334" s="1"/>
    </row>
    <row r="335" spans="11:11" ht="13.2">
      <c r="K335" s="1"/>
    </row>
    <row r="336" spans="11:11" ht="13.2">
      <c r="K336" s="1"/>
    </row>
    <row r="337" spans="11:11" ht="13.2">
      <c r="K337" s="1"/>
    </row>
    <row r="338" spans="11:11" ht="13.2">
      <c r="K338" s="1"/>
    </row>
    <row r="339" spans="11:11" ht="13.2">
      <c r="K339" s="1"/>
    </row>
    <row r="340" spans="11:11" ht="13.2">
      <c r="K340" s="1"/>
    </row>
    <row r="341" spans="11:11" ht="13.2">
      <c r="K341" s="1"/>
    </row>
    <row r="342" spans="11:11" ht="13.2">
      <c r="K342" s="1"/>
    </row>
    <row r="343" spans="11:11" ht="13.2">
      <c r="K343" s="1"/>
    </row>
    <row r="344" spans="11:11" ht="13.2">
      <c r="K344" s="1"/>
    </row>
    <row r="345" spans="11:11" ht="13.2">
      <c r="K345" s="1"/>
    </row>
    <row r="346" spans="11:11" ht="13.2">
      <c r="K346" s="1"/>
    </row>
    <row r="347" spans="11:11" ht="13.2">
      <c r="K347" s="1"/>
    </row>
    <row r="348" spans="11:11" ht="13.2">
      <c r="K348" s="1"/>
    </row>
    <row r="349" spans="11:11" ht="13.2">
      <c r="K349" s="1"/>
    </row>
    <row r="350" spans="11:11" ht="13.2">
      <c r="K350" s="1"/>
    </row>
    <row r="351" spans="11:11" ht="13.2">
      <c r="K351" s="1"/>
    </row>
    <row r="352" spans="11:11" ht="13.2">
      <c r="K352" s="1"/>
    </row>
    <row r="353" spans="11:11" ht="13.2">
      <c r="K353" s="1"/>
    </row>
    <row r="354" spans="11:11" ht="13.2">
      <c r="K354" s="1"/>
    </row>
    <row r="355" spans="11:11" ht="13.2">
      <c r="K355" s="1"/>
    </row>
    <row r="356" spans="11:11" ht="13.2">
      <c r="K356" s="1"/>
    </row>
    <row r="357" spans="11:11" ht="13.2">
      <c r="K357" s="1"/>
    </row>
    <row r="358" spans="11:11" ht="13.2">
      <c r="K358" s="1"/>
    </row>
    <row r="359" spans="11:11" ht="13.2">
      <c r="K359" s="1"/>
    </row>
    <row r="360" spans="11:11" ht="13.2">
      <c r="K360" s="1"/>
    </row>
    <row r="361" spans="11:11" ht="13.2">
      <c r="K361" s="1"/>
    </row>
    <row r="362" spans="11:11" ht="13.2">
      <c r="K362" s="1"/>
    </row>
    <row r="363" spans="11:11" ht="13.2">
      <c r="K363" s="1"/>
    </row>
    <row r="364" spans="11:11" ht="13.2">
      <c r="K364" s="1"/>
    </row>
    <row r="365" spans="11:11" ht="13.2">
      <c r="K365" s="1"/>
    </row>
    <row r="366" spans="11:11" ht="13.2">
      <c r="K366" s="1"/>
    </row>
    <row r="367" spans="11:11" ht="13.2">
      <c r="K367" s="1"/>
    </row>
    <row r="368" spans="11:11" ht="13.2">
      <c r="K368" s="1"/>
    </row>
    <row r="369" spans="11:11" ht="13.2">
      <c r="K369" s="1"/>
    </row>
    <row r="370" spans="11:11" ht="13.2">
      <c r="K370" s="1"/>
    </row>
    <row r="371" spans="11:11" ht="13.2">
      <c r="K371" s="1"/>
    </row>
    <row r="372" spans="11:11" ht="13.2">
      <c r="K372" s="1"/>
    </row>
    <row r="373" spans="11:11" ht="13.2">
      <c r="K373" s="1"/>
    </row>
    <row r="374" spans="11:11" ht="13.2">
      <c r="K374" s="1"/>
    </row>
    <row r="375" spans="11:11" ht="13.2">
      <c r="K375" s="1"/>
    </row>
    <row r="376" spans="11:11" ht="13.2">
      <c r="K376" s="1"/>
    </row>
    <row r="377" spans="11:11" ht="13.2">
      <c r="K377" s="1"/>
    </row>
    <row r="378" spans="11:11" ht="13.2">
      <c r="K378" s="1"/>
    </row>
    <row r="379" spans="11:11" ht="13.2">
      <c r="K379" s="1"/>
    </row>
    <row r="380" spans="11:11" ht="13.2">
      <c r="K380" s="1"/>
    </row>
    <row r="381" spans="11:11" ht="13.2">
      <c r="K381" s="1"/>
    </row>
    <row r="382" spans="11:11" ht="13.2">
      <c r="K382" s="1"/>
    </row>
    <row r="383" spans="11:11" ht="13.2">
      <c r="K383" s="1"/>
    </row>
    <row r="384" spans="11:11" ht="13.2">
      <c r="K384" s="1"/>
    </row>
    <row r="385" spans="11:11" ht="13.2">
      <c r="K385" s="1"/>
    </row>
    <row r="386" spans="11:11" ht="13.2">
      <c r="K386" s="1"/>
    </row>
    <row r="387" spans="11:11" ht="13.2">
      <c r="K387" s="1"/>
    </row>
    <row r="388" spans="11:11" ht="13.2">
      <c r="K388" s="1"/>
    </row>
    <row r="389" spans="11:11" ht="13.2">
      <c r="K389" s="1"/>
    </row>
    <row r="390" spans="11:11" ht="13.2">
      <c r="K390" s="1"/>
    </row>
    <row r="391" spans="11:11" ht="13.2">
      <c r="K391" s="1"/>
    </row>
    <row r="392" spans="11:11" ht="13.2">
      <c r="K392" s="1"/>
    </row>
    <row r="393" spans="11:11" ht="13.2">
      <c r="K393" s="1"/>
    </row>
    <row r="394" spans="11:11" ht="13.2">
      <c r="K394" s="1"/>
    </row>
    <row r="395" spans="11:11" ht="13.2">
      <c r="K395" s="1"/>
    </row>
    <row r="396" spans="11:11" ht="13.2">
      <c r="K396" s="1"/>
    </row>
    <row r="397" spans="11:11" ht="13.2">
      <c r="K397" s="1"/>
    </row>
    <row r="398" spans="11:11" ht="13.2">
      <c r="K398" s="1"/>
    </row>
    <row r="399" spans="11:11" ht="13.2">
      <c r="K399" s="1"/>
    </row>
    <row r="400" spans="11:11" ht="13.2">
      <c r="K400" s="1"/>
    </row>
    <row r="401" spans="11:11" ht="13.2">
      <c r="K401" s="1"/>
    </row>
    <row r="402" spans="11:11" ht="13.2">
      <c r="K402" s="1"/>
    </row>
    <row r="403" spans="11:11" ht="13.2">
      <c r="K403" s="1"/>
    </row>
    <row r="404" spans="11:11" ht="13.2">
      <c r="K404" s="1"/>
    </row>
    <row r="405" spans="11:11" ht="13.2">
      <c r="K405" s="1"/>
    </row>
    <row r="406" spans="11:11" ht="13.2">
      <c r="K406" s="1"/>
    </row>
    <row r="407" spans="11:11" ht="13.2">
      <c r="K407" s="1"/>
    </row>
    <row r="408" spans="11:11" ht="13.2">
      <c r="K408" s="1"/>
    </row>
    <row r="409" spans="11:11" ht="13.2">
      <c r="K409" s="1"/>
    </row>
    <row r="410" spans="11:11" ht="13.2">
      <c r="K410" s="1"/>
    </row>
    <row r="411" spans="11:11" ht="13.2">
      <c r="K411" s="1"/>
    </row>
    <row r="412" spans="11:11" ht="13.2">
      <c r="K412" s="1"/>
    </row>
    <row r="413" spans="11:11" ht="13.2">
      <c r="K413" s="1"/>
    </row>
    <row r="414" spans="11:11" ht="13.2">
      <c r="K414" s="1"/>
    </row>
    <row r="415" spans="11:11" ht="13.2">
      <c r="K415" s="1"/>
    </row>
    <row r="416" spans="11:11" ht="13.2">
      <c r="K416" s="1"/>
    </row>
    <row r="417" spans="11:11" ht="13.2">
      <c r="K417" s="1"/>
    </row>
    <row r="418" spans="11:11" ht="13.2">
      <c r="K418" s="1"/>
    </row>
    <row r="419" spans="11:11" ht="13.2">
      <c r="K419" s="1"/>
    </row>
    <row r="420" spans="11:11" ht="13.2">
      <c r="K420" s="1"/>
    </row>
    <row r="421" spans="11:11" ht="13.2">
      <c r="K421" s="1"/>
    </row>
    <row r="422" spans="11:11" ht="13.2">
      <c r="K422" s="1"/>
    </row>
    <row r="423" spans="11:11" ht="13.2">
      <c r="K423" s="1"/>
    </row>
    <row r="424" spans="11:11" ht="13.2">
      <c r="K424" s="1"/>
    </row>
    <row r="425" spans="11:11" ht="13.2">
      <c r="K425" s="1"/>
    </row>
    <row r="426" spans="11:11" ht="13.2">
      <c r="K426" s="1"/>
    </row>
    <row r="427" spans="11:11" ht="13.2">
      <c r="K427" s="1"/>
    </row>
    <row r="428" spans="11:11" ht="13.2">
      <c r="K428" s="1"/>
    </row>
    <row r="429" spans="11:11" ht="13.2">
      <c r="K429" s="1"/>
    </row>
    <row r="430" spans="11:11" ht="13.2">
      <c r="K430" s="1"/>
    </row>
    <row r="431" spans="11:11" ht="13.2">
      <c r="K431" s="1"/>
    </row>
    <row r="432" spans="11:11" ht="13.2">
      <c r="K432" s="1"/>
    </row>
    <row r="433" spans="11:11" ht="13.2">
      <c r="K433" s="1"/>
    </row>
    <row r="434" spans="11:11" ht="13.2">
      <c r="K434" s="1"/>
    </row>
    <row r="435" spans="11:11" ht="13.2">
      <c r="K435" s="1"/>
    </row>
    <row r="436" spans="11:11" ht="13.2">
      <c r="K436" s="1"/>
    </row>
    <row r="437" spans="11:11" ht="13.2">
      <c r="K437" s="1"/>
    </row>
    <row r="438" spans="11:11" ht="13.2">
      <c r="K438" s="1"/>
    </row>
    <row r="439" spans="11:11" ht="13.2">
      <c r="K439" s="1"/>
    </row>
    <row r="440" spans="11:11" ht="13.2">
      <c r="K440" s="1"/>
    </row>
    <row r="441" spans="11:11" ht="13.2">
      <c r="K441" s="1"/>
    </row>
    <row r="442" spans="11:11" ht="13.2">
      <c r="K442" s="1"/>
    </row>
    <row r="443" spans="11:11" ht="13.2">
      <c r="K443" s="1"/>
    </row>
    <row r="444" spans="11:11" ht="13.2">
      <c r="K444" s="1"/>
    </row>
    <row r="445" spans="11:11" ht="13.2">
      <c r="K445" s="1"/>
    </row>
    <row r="446" spans="11:11" ht="13.2">
      <c r="K446" s="1"/>
    </row>
    <row r="447" spans="11:11" ht="13.2">
      <c r="K447" s="1"/>
    </row>
    <row r="448" spans="11:11" ht="13.2">
      <c r="K448" s="1"/>
    </row>
    <row r="449" spans="11:11" ht="13.2">
      <c r="K449" s="1"/>
    </row>
    <row r="450" spans="11:11" ht="13.2">
      <c r="K450" s="1"/>
    </row>
    <row r="451" spans="11:11" ht="13.2">
      <c r="K451" s="1"/>
    </row>
    <row r="452" spans="11:11" ht="13.2">
      <c r="K452" s="1"/>
    </row>
    <row r="453" spans="11:11" ht="13.2">
      <c r="K453" s="1"/>
    </row>
    <row r="454" spans="11:11" ht="13.2">
      <c r="K454" s="1"/>
    </row>
    <row r="455" spans="11:11" ht="13.2">
      <c r="K455" s="1"/>
    </row>
    <row r="456" spans="11:11" ht="13.2">
      <c r="K456" s="1"/>
    </row>
    <row r="457" spans="11:11" ht="13.2">
      <c r="K457" s="1"/>
    </row>
    <row r="458" spans="11:11" ht="13.2">
      <c r="K458" s="1"/>
    </row>
    <row r="459" spans="11:11" ht="13.2">
      <c r="K459" s="1"/>
    </row>
    <row r="460" spans="11:11" ht="13.2">
      <c r="K460" s="1"/>
    </row>
    <row r="461" spans="11:11" ht="13.2">
      <c r="K461" s="1"/>
    </row>
    <row r="462" spans="11:11" ht="13.2">
      <c r="K462" s="1"/>
    </row>
    <row r="463" spans="11:11" ht="13.2">
      <c r="K463" s="1"/>
    </row>
    <row r="464" spans="11:11" ht="13.2">
      <c r="K464" s="1"/>
    </row>
    <row r="465" spans="11:11" ht="13.2">
      <c r="K465" s="1"/>
    </row>
    <row r="466" spans="11:11" ht="13.2">
      <c r="K466" s="1"/>
    </row>
    <row r="467" spans="11:11" ht="13.2">
      <c r="K467" s="1"/>
    </row>
    <row r="468" spans="11:11" ht="13.2">
      <c r="K468" s="1"/>
    </row>
    <row r="469" spans="11:11" ht="13.2">
      <c r="K469" s="1"/>
    </row>
    <row r="470" spans="11:11" ht="13.2">
      <c r="K470" s="1"/>
    </row>
    <row r="471" spans="11:11" ht="13.2">
      <c r="K471" s="1"/>
    </row>
    <row r="472" spans="11:11" ht="13.2">
      <c r="K472" s="1"/>
    </row>
    <row r="473" spans="11:11" ht="13.2">
      <c r="K473" s="1"/>
    </row>
    <row r="474" spans="11:11" ht="13.2">
      <c r="K474" s="1"/>
    </row>
    <row r="475" spans="11:11" ht="13.2">
      <c r="K475" s="1"/>
    </row>
    <row r="476" spans="11:11" ht="13.2">
      <c r="K476" s="1"/>
    </row>
    <row r="477" spans="11:11" ht="13.2">
      <c r="K477" s="1"/>
    </row>
    <row r="478" spans="11:11" ht="13.2">
      <c r="K478" s="1"/>
    </row>
    <row r="479" spans="11:11" ht="13.2">
      <c r="K479" s="1"/>
    </row>
    <row r="480" spans="11:11" ht="13.2">
      <c r="K480" s="1"/>
    </row>
    <row r="481" spans="11:11" ht="13.2">
      <c r="K481" s="1"/>
    </row>
    <row r="482" spans="11:11" ht="13.2">
      <c r="K482" s="1"/>
    </row>
    <row r="483" spans="11:11" ht="13.2">
      <c r="K483" s="1"/>
    </row>
    <row r="484" spans="11:11" ht="13.2">
      <c r="K484" s="1"/>
    </row>
    <row r="485" spans="11:11" ht="13.2">
      <c r="K485" s="1"/>
    </row>
    <row r="486" spans="11:11" ht="13.2">
      <c r="K486" s="1"/>
    </row>
    <row r="487" spans="11:11" ht="13.2">
      <c r="K487" s="1"/>
    </row>
    <row r="488" spans="11:11" ht="13.2">
      <c r="K488" s="1"/>
    </row>
    <row r="489" spans="11:11" ht="13.2">
      <c r="K489" s="1"/>
    </row>
    <row r="490" spans="11:11" ht="13.2">
      <c r="K490" s="1"/>
    </row>
    <row r="491" spans="11:11" ht="13.2">
      <c r="K491" s="1"/>
    </row>
    <row r="492" spans="11:11" ht="13.2">
      <c r="K492" s="1"/>
    </row>
    <row r="493" spans="11:11" ht="13.2">
      <c r="K493" s="1"/>
    </row>
    <row r="494" spans="11:11" ht="13.2">
      <c r="K494" s="1"/>
    </row>
    <row r="495" spans="11:11" ht="13.2">
      <c r="K495" s="1"/>
    </row>
    <row r="496" spans="11:11" ht="13.2">
      <c r="K496" s="1"/>
    </row>
    <row r="497" spans="11:11" ht="13.2">
      <c r="K497" s="1"/>
    </row>
    <row r="498" spans="11:11" ht="13.2">
      <c r="K498" s="1"/>
    </row>
    <row r="499" spans="11:11" ht="13.2">
      <c r="K499" s="1"/>
    </row>
    <row r="500" spans="11:11" ht="13.2">
      <c r="K500" s="1"/>
    </row>
    <row r="501" spans="11:11" ht="13.2">
      <c r="K501" s="1"/>
    </row>
    <row r="502" spans="11:11" ht="13.2">
      <c r="K502" s="1"/>
    </row>
    <row r="503" spans="11:11" ht="13.2">
      <c r="K503" s="1"/>
    </row>
    <row r="504" spans="11:11" ht="13.2">
      <c r="K504" s="1"/>
    </row>
    <row r="505" spans="11:11" ht="13.2">
      <c r="K505" s="1"/>
    </row>
    <row r="506" spans="11:11" ht="13.2">
      <c r="K506" s="1"/>
    </row>
    <row r="507" spans="11:11" ht="13.2">
      <c r="K507" s="1"/>
    </row>
    <row r="508" spans="11:11" ht="13.2">
      <c r="K508" s="1"/>
    </row>
    <row r="509" spans="11:11" ht="13.2">
      <c r="K509" s="1"/>
    </row>
    <row r="510" spans="11:11" ht="13.2">
      <c r="K510" s="1"/>
    </row>
    <row r="511" spans="11:11" ht="13.2">
      <c r="K511" s="1"/>
    </row>
    <row r="512" spans="11:11" ht="13.2">
      <c r="K512" s="1"/>
    </row>
    <row r="513" spans="11:11" ht="13.2">
      <c r="K513" s="1"/>
    </row>
    <row r="514" spans="11:11" ht="13.2">
      <c r="K514" s="1"/>
    </row>
    <row r="515" spans="11:11" ht="13.2">
      <c r="K515" s="1"/>
    </row>
    <row r="516" spans="11:11" ht="13.2">
      <c r="K516" s="1"/>
    </row>
    <row r="517" spans="11:11" ht="13.2">
      <c r="K517" s="1"/>
    </row>
    <row r="518" spans="11:11" ht="13.2">
      <c r="K518" s="1"/>
    </row>
    <row r="519" spans="11:11" ht="13.2">
      <c r="K519" s="1"/>
    </row>
    <row r="520" spans="11:11" ht="13.2">
      <c r="K520" s="1"/>
    </row>
    <row r="521" spans="11:11" ht="13.2">
      <c r="K521" s="1"/>
    </row>
    <row r="522" spans="11:11" ht="13.2">
      <c r="K522" s="1"/>
    </row>
    <row r="523" spans="11:11" ht="13.2">
      <c r="K523" s="1"/>
    </row>
    <row r="524" spans="11:11" ht="13.2">
      <c r="K524" s="1"/>
    </row>
    <row r="525" spans="11:11" ht="13.2">
      <c r="K525" s="1"/>
    </row>
    <row r="526" spans="11:11" ht="13.2">
      <c r="K526" s="1"/>
    </row>
    <row r="527" spans="11:11" ht="13.2">
      <c r="K527" s="1"/>
    </row>
    <row r="528" spans="11:11" ht="13.2">
      <c r="K528" s="1"/>
    </row>
    <row r="529" spans="11:11" ht="13.2">
      <c r="K529" s="1"/>
    </row>
    <row r="530" spans="11:11" ht="13.2">
      <c r="K530" s="1"/>
    </row>
    <row r="531" spans="11:11" ht="13.2">
      <c r="K531" s="1"/>
    </row>
    <row r="532" spans="11:11" ht="13.2">
      <c r="K532" s="1"/>
    </row>
    <row r="533" spans="11:11" ht="13.2">
      <c r="K533" s="1"/>
    </row>
    <row r="534" spans="11:11" ht="13.2">
      <c r="K534" s="1"/>
    </row>
    <row r="535" spans="11:11" ht="13.2">
      <c r="K535" s="1"/>
    </row>
    <row r="536" spans="11:11" ht="13.2">
      <c r="K536" s="1"/>
    </row>
    <row r="537" spans="11:11" ht="13.2">
      <c r="K537" s="1"/>
    </row>
    <row r="538" spans="11:11" ht="13.2">
      <c r="K538" s="1"/>
    </row>
    <row r="539" spans="11:11" ht="13.2">
      <c r="K539" s="1"/>
    </row>
    <row r="540" spans="11:11" ht="13.2">
      <c r="K540" s="1"/>
    </row>
    <row r="541" spans="11:11" ht="13.2">
      <c r="K541" s="1"/>
    </row>
    <row r="542" spans="11:11" ht="13.2">
      <c r="K542" s="1"/>
    </row>
    <row r="543" spans="11:11" ht="13.2">
      <c r="K543" s="1"/>
    </row>
    <row r="544" spans="11:11" ht="13.2">
      <c r="K544" s="1"/>
    </row>
    <row r="545" spans="11:11" ht="13.2">
      <c r="K545" s="1"/>
    </row>
    <row r="546" spans="11:11" ht="13.2">
      <c r="K546" s="1"/>
    </row>
    <row r="547" spans="11:11" ht="13.2">
      <c r="K547" s="1"/>
    </row>
    <row r="548" spans="11:11" ht="13.2">
      <c r="K548" s="1"/>
    </row>
    <row r="549" spans="11:11" ht="13.2">
      <c r="K549" s="1"/>
    </row>
    <row r="550" spans="11:11" ht="13.2">
      <c r="K550" s="1"/>
    </row>
    <row r="551" spans="11:11" ht="13.2">
      <c r="K551" s="1"/>
    </row>
    <row r="552" spans="11:11" ht="13.2">
      <c r="K552" s="1"/>
    </row>
    <row r="553" spans="11:11" ht="13.2">
      <c r="K553" s="1"/>
    </row>
    <row r="554" spans="11:11" ht="13.2">
      <c r="K554" s="1"/>
    </row>
    <row r="555" spans="11:11" ht="13.2">
      <c r="K555" s="1"/>
    </row>
    <row r="556" spans="11:11" ht="13.2">
      <c r="K556" s="1"/>
    </row>
    <row r="557" spans="11:11" ht="13.2">
      <c r="K557" s="1"/>
    </row>
    <row r="558" spans="11:11" ht="13.2">
      <c r="K558" s="1"/>
    </row>
    <row r="559" spans="11:11" ht="13.2">
      <c r="K559" s="1"/>
    </row>
    <row r="560" spans="11:11" ht="13.2">
      <c r="K560" s="1"/>
    </row>
    <row r="561" spans="11:11" ht="13.2">
      <c r="K561" s="1"/>
    </row>
    <row r="562" spans="11:11" ht="13.2">
      <c r="K562" s="1"/>
    </row>
    <row r="563" spans="11:11" ht="13.2">
      <c r="K563" s="1"/>
    </row>
    <row r="564" spans="11:11" ht="13.2">
      <c r="K564" s="1"/>
    </row>
    <row r="565" spans="11:11" ht="13.2">
      <c r="K565" s="1"/>
    </row>
    <row r="566" spans="11:11" ht="13.2">
      <c r="K566" s="1"/>
    </row>
    <row r="567" spans="11:11" ht="13.2">
      <c r="K567" s="1"/>
    </row>
    <row r="568" spans="11:11" ht="13.2">
      <c r="K568" s="1"/>
    </row>
    <row r="569" spans="11:11" ht="13.2">
      <c r="K569" s="1"/>
    </row>
    <row r="570" spans="11:11" ht="13.2">
      <c r="K570" s="1"/>
    </row>
    <row r="571" spans="11:11" ht="13.2">
      <c r="K571" s="1"/>
    </row>
    <row r="572" spans="11:11" ht="13.2">
      <c r="K572" s="1"/>
    </row>
    <row r="573" spans="11:11" ht="13.2">
      <c r="K573" s="1"/>
    </row>
    <row r="574" spans="11:11" ht="13.2">
      <c r="K574" s="1"/>
    </row>
    <row r="575" spans="11:11" ht="13.2">
      <c r="K575" s="1"/>
    </row>
    <row r="576" spans="11:11" ht="13.2">
      <c r="K576" s="1"/>
    </row>
    <row r="577" spans="11:11" ht="13.2">
      <c r="K577" s="1"/>
    </row>
    <row r="578" spans="11:11" ht="13.2">
      <c r="K578" s="1"/>
    </row>
    <row r="579" spans="11:11" ht="13.2">
      <c r="K579" s="1"/>
    </row>
    <row r="580" spans="11:11" ht="13.2">
      <c r="K580" s="1"/>
    </row>
    <row r="581" spans="11:11" ht="13.2">
      <c r="K581" s="1"/>
    </row>
    <row r="582" spans="11:11" ht="13.2">
      <c r="K582" s="1"/>
    </row>
    <row r="583" spans="11:11" ht="13.2">
      <c r="K583" s="1"/>
    </row>
    <row r="584" spans="11:11" ht="13.2">
      <c r="K584" s="1"/>
    </row>
    <row r="585" spans="11:11" ht="13.2">
      <c r="K585" s="1"/>
    </row>
    <row r="586" spans="11:11" ht="13.2">
      <c r="K586" s="1"/>
    </row>
    <row r="587" spans="11:11" ht="13.2">
      <c r="K587" s="1"/>
    </row>
    <row r="588" spans="11:11" ht="13.2">
      <c r="K588" s="1"/>
    </row>
    <row r="589" spans="11:11" ht="13.2">
      <c r="K589" s="1"/>
    </row>
    <row r="590" spans="11:11" ht="13.2">
      <c r="K590" s="1"/>
    </row>
    <row r="591" spans="11:11" ht="13.2">
      <c r="K591" s="1"/>
    </row>
    <row r="592" spans="11:11" ht="13.2">
      <c r="K592" s="1"/>
    </row>
    <row r="593" spans="11:11" ht="13.2">
      <c r="K593" s="1"/>
    </row>
    <row r="594" spans="11:11" ht="13.2">
      <c r="K594" s="1"/>
    </row>
    <row r="595" spans="11:11" ht="13.2">
      <c r="K595" s="1"/>
    </row>
    <row r="596" spans="11:11" ht="13.2">
      <c r="K596" s="1"/>
    </row>
    <row r="597" spans="11:11" ht="13.2">
      <c r="K597" s="1"/>
    </row>
    <row r="598" spans="11:11" ht="13.2">
      <c r="K598" s="1"/>
    </row>
    <row r="599" spans="11:11" ht="13.2">
      <c r="K599" s="1"/>
    </row>
    <row r="600" spans="11:11" ht="13.2">
      <c r="K600" s="1"/>
    </row>
    <row r="601" spans="11:11" ht="13.2">
      <c r="K601" s="1"/>
    </row>
    <row r="602" spans="11:11" ht="13.2">
      <c r="K602" s="1"/>
    </row>
    <row r="603" spans="11:11" ht="13.2">
      <c r="K603" s="1"/>
    </row>
    <row r="604" spans="11:11" ht="13.2">
      <c r="K604" s="1"/>
    </row>
    <row r="605" spans="11:11" ht="13.2">
      <c r="K605" s="1"/>
    </row>
    <row r="606" spans="11:11" ht="13.2">
      <c r="K606" s="1"/>
    </row>
    <row r="607" spans="11:11" ht="13.2">
      <c r="K607" s="1"/>
    </row>
    <row r="608" spans="11:11" ht="13.2">
      <c r="K608" s="1"/>
    </row>
    <row r="609" spans="11:11" ht="13.2">
      <c r="K609" s="1"/>
    </row>
    <row r="610" spans="11:11" ht="13.2">
      <c r="K610" s="1"/>
    </row>
    <row r="611" spans="11:11" ht="13.2">
      <c r="K611" s="1"/>
    </row>
    <row r="612" spans="11:11" ht="13.2">
      <c r="K612" s="1"/>
    </row>
    <row r="613" spans="11:11" ht="13.2">
      <c r="K613" s="1"/>
    </row>
    <row r="614" spans="11:11" ht="13.2">
      <c r="K614" s="1"/>
    </row>
    <row r="615" spans="11:11" ht="13.2">
      <c r="K615" s="1"/>
    </row>
    <row r="616" spans="11:11" ht="13.2">
      <c r="K616" s="1"/>
    </row>
    <row r="617" spans="11:11" ht="13.2">
      <c r="K617" s="1"/>
    </row>
    <row r="618" spans="11:11" ht="13.2">
      <c r="K618" s="1"/>
    </row>
    <row r="619" spans="11:11" ht="13.2">
      <c r="K619" s="1"/>
    </row>
    <row r="620" spans="11:11" ht="13.2">
      <c r="K620" s="1"/>
    </row>
    <row r="621" spans="11:11" ht="13.2">
      <c r="K621" s="1"/>
    </row>
    <row r="622" spans="11:11" ht="13.2">
      <c r="K622" s="1"/>
    </row>
    <row r="623" spans="11:11" ht="13.2">
      <c r="K623" s="1"/>
    </row>
    <row r="624" spans="11:11" ht="13.2">
      <c r="K624" s="1"/>
    </row>
    <row r="625" spans="11:11" ht="13.2">
      <c r="K625" s="1"/>
    </row>
    <row r="626" spans="11:11" ht="13.2">
      <c r="K626" s="1"/>
    </row>
    <row r="627" spans="11:11" ht="13.2">
      <c r="K627" s="1"/>
    </row>
    <row r="628" spans="11:11" ht="13.2">
      <c r="K628" s="1"/>
    </row>
    <row r="629" spans="11:11" ht="13.2">
      <c r="K629" s="1"/>
    </row>
    <row r="630" spans="11:11" ht="13.2">
      <c r="K630" s="1"/>
    </row>
    <row r="631" spans="11:11" ht="13.2">
      <c r="K631" s="1"/>
    </row>
    <row r="632" spans="11:11" ht="13.2">
      <c r="K632" s="1"/>
    </row>
    <row r="633" spans="11:11" ht="13.2">
      <c r="K633" s="1"/>
    </row>
    <row r="634" spans="11:11" ht="13.2">
      <c r="K634" s="1"/>
    </row>
    <row r="635" spans="11:11" ht="13.2">
      <c r="K635" s="1"/>
    </row>
    <row r="636" spans="11:11" ht="13.2">
      <c r="K636" s="1"/>
    </row>
    <row r="637" spans="11:11" ht="13.2">
      <c r="K637" s="1"/>
    </row>
    <row r="638" spans="11:11" ht="13.2">
      <c r="K638" s="1"/>
    </row>
    <row r="639" spans="11:11" ht="13.2">
      <c r="K639" s="1"/>
    </row>
    <row r="640" spans="11:11" ht="13.2">
      <c r="K640" s="1"/>
    </row>
    <row r="641" spans="11:11" ht="13.2">
      <c r="K641" s="1"/>
    </row>
    <row r="642" spans="11:11" ht="13.2">
      <c r="K642" s="1"/>
    </row>
    <row r="643" spans="11:11" ht="13.2">
      <c r="K643" s="1"/>
    </row>
    <row r="644" spans="11:11" ht="13.2">
      <c r="K644" s="1"/>
    </row>
    <row r="645" spans="11:11" ht="13.2">
      <c r="K645" s="1"/>
    </row>
    <row r="646" spans="11:11" ht="13.2">
      <c r="K646" s="1"/>
    </row>
    <row r="647" spans="11:11" ht="13.2">
      <c r="K647" s="1"/>
    </row>
    <row r="648" spans="11:11" ht="13.2">
      <c r="K648" s="1"/>
    </row>
    <row r="649" spans="11:11" ht="13.2">
      <c r="K649" s="1"/>
    </row>
    <row r="650" spans="11:11" ht="13.2">
      <c r="K650" s="1"/>
    </row>
    <row r="651" spans="11:11" ht="13.2">
      <c r="K651" s="1"/>
    </row>
    <row r="652" spans="11:11" ht="13.2">
      <c r="K652" s="1"/>
    </row>
    <row r="653" spans="11:11" ht="13.2">
      <c r="K653" s="1"/>
    </row>
    <row r="654" spans="11:11" ht="13.2">
      <c r="K654" s="1"/>
    </row>
    <row r="655" spans="11:11" ht="13.2">
      <c r="K655" s="1"/>
    </row>
    <row r="656" spans="11:11" ht="13.2">
      <c r="K656" s="1"/>
    </row>
    <row r="657" spans="11:11" ht="13.2">
      <c r="K657" s="1"/>
    </row>
    <row r="658" spans="11:11" ht="13.2">
      <c r="K658" s="1"/>
    </row>
    <row r="659" spans="11:11" ht="13.2">
      <c r="K659" s="1"/>
    </row>
    <row r="660" spans="11:11" ht="13.2">
      <c r="K660" s="1"/>
    </row>
    <row r="661" spans="11:11" ht="13.2">
      <c r="K661" s="1"/>
    </row>
    <row r="662" spans="11:11" ht="13.2">
      <c r="K662" s="1"/>
    </row>
    <row r="663" spans="11:11" ht="13.2">
      <c r="K663" s="1"/>
    </row>
    <row r="664" spans="11:11" ht="13.2">
      <c r="K664" s="1"/>
    </row>
    <row r="665" spans="11:11" ht="13.2">
      <c r="K665" s="1"/>
    </row>
    <row r="666" spans="11:11" ht="13.2">
      <c r="K666" s="1"/>
    </row>
    <row r="667" spans="11:11" ht="13.2">
      <c r="K667" s="1"/>
    </row>
    <row r="668" spans="11:11" ht="13.2">
      <c r="K668" s="1"/>
    </row>
    <row r="669" spans="11:11" ht="13.2">
      <c r="K669" s="1"/>
    </row>
    <row r="670" spans="11:11" ht="13.2">
      <c r="K670" s="1"/>
    </row>
    <row r="671" spans="11:11" ht="13.2">
      <c r="K671" s="1"/>
    </row>
    <row r="672" spans="11:11" ht="13.2">
      <c r="K672" s="1"/>
    </row>
    <row r="673" spans="11:11" ht="13.2">
      <c r="K673" s="1"/>
    </row>
    <row r="674" spans="11:11" ht="13.2">
      <c r="K674" s="1"/>
    </row>
    <row r="675" spans="11:11" ht="13.2">
      <c r="K675" s="1"/>
    </row>
    <row r="676" spans="11:11" ht="13.2">
      <c r="K676" s="1"/>
    </row>
    <row r="677" spans="11:11" ht="13.2">
      <c r="K677" s="1"/>
    </row>
    <row r="678" spans="11:11" ht="13.2">
      <c r="K678" s="1"/>
    </row>
    <row r="679" spans="11:11" ht="13.2">
      <c r="K679" s="1"/>
    </row>
    <row r="680" spans="11:11" ht="13.2">
      <c r="K680" s="1"/>
    </row>
    <row r="681" spans="11:11" ht="13.2">
      <c r="K681" s="1"/>
    </row>
    <row r="682" spans="11:11" ht="13.2">
      <c r="K682" s="1"/>
    </row>
    <row r="683" spans="11:11" ht="13.2">
      <c r="K683" s="1"/>
    </row>
    <row r="684" spans="11:11" ht="13.2">
      <c r="K684" s="1"/>
    </row>
    <row r="685" spans="11:11" ht="13.2">
      <c r="K685" s="1"/>
    </row>
    <row r="686" spans="11:11" ht="13.2">
      <c r="K686" s="1"/>
    </row>
    <row r="687" spans="11:11" ht="13.2">
      <c r="K687" s="1"/>
    </row>
    <row r="688" spans="11:11" ht="13.2">
      <c r="K688" s="1"/>
    </row>
    <row r="689" spans="11:11" ht="13.2">
      <c r="K689" s="1"/>
    </row>
    <row r="690" spans="11:11" ht="13.2">
      <c r="K690" s="1"/>
    </row>
    <row r="691" spans="11:11" ht="13.2">
      <c r="K691" s="1"/>
    </row>
    <row r="692" spans="11:11" ht="13.2">
      <c r="K692" s="1"/>
    </row>
    <row r="693" spans="11:11" ht="13.2">
      <c r="K693" s="1"/>
    </row>
    <row r="694" spans="11:11" ht="13.2">
      <c r="K694" s="1"/>
    </row>
    <row r="695" spans="11:11" ht="13.2">
      <c r="K695" s="1"/>
    </row>
    <row r="696" spans="11:11" ht="13.2">
      <c r="K696" s="1"/>
    </row>
    <row r="697" spans="11:11" ht="13.2">
      <c r="K697" s="1"/>
    </row>
    <row r="698" spans="11:11" ht="13.2">
      <c r="K698" s="1"/>
    </row>
    <row r="699" spans="11:11" ht="13.2">
      <c r="K699" s="1"/>
    </row>
    <row r="700" spans="11:11" ht="13.2">
      <c r="K700" s="1"/>
    </row>
    <row r="701" spans="11:11" ht="13.2">
      <c r="K701" s="1"/>
    </row>
    <row r="702" spans="11:11" ht="13.2">
      <c r="K702" s="1"/>
    </row>
    <row r="703" spans="11:11" ht="13.2">
      <c r="K703" s="1"/>
    </row>
    <row r="704" spans="11:11" ht="13.2">
      <c r="K704" s="1"/>
    </row>
    <row r="705" spans="11:11" ht="13.2">
      <c r="K705" s="1"/>
    </row>
    <row r="706" spans="11:11" ht="13.2">
      <c r="K706" s="1"/>
    </row>
    <row r="707" spans="11:11" ht="13.2">
      <c r="K707" s="1"/>
    </row>
    <row r="708" spans="11:11" ht="13.2">
      <c r="K708" s="1"/>
    </row>
    <row r="709" spans="11:11" ht="13.2">
      <c r="K709" s="1"/>
    </row>
    <row r="710" spans="11:11" ht="13.2">
      <c r="K710" s="1"/>
    </row>
    <row r="711" spans="11:11" ht="13.2">
      <c r="K711" s="1"/>
    </row>
    <row r="712" spans="11:11" ht="13.2">
      <c r="K712" s="1"/>
    </row>
    <row r="713" spans="11:11" ht="13.2">
      <c r="K713" s="1"/>
    </row>
    <row r="714" spans="11:11" ht="13.2">
      <c r="K714" s="1"/>
    </row>
    <row r="715" spans="11:11" ht="13.2">
      <c r="K715" s="1"/>
    </row>
    <row r="716" spans="11:11" ht="13.2">
      <c r="K716" s="1"/>
    </row>
    <row r="717" spans="11:11" ht="13.2">
      <c r="K717" s="1"/>
    </row>
    <row r="718" spans="11:11" ht="13.2">
      <c r="K718" s="1"/>
    </row>
    <row r="719" spans="11:11" ht="13.2">
      <c r="K719" s="1"/>
    </row>
    <row r="720" spans="11:11" ht="13.2">
      <c r="K720" s="1"/>
    </row>
    <row r="721" spans="11:11" ht="13.2">
      <c r="K721" s="1"/>
    </row>
    <row r="722" spans="11:11" ht="13.2">
      <c r="K722" s="1"/>
    </row>
    <row r="723" spans="11:11" ht="13.2">
      <c r="K723" s="1"/>
    </row>
    <row r="724" spans="11:11" ht="13.2">
      <c r="K724" s="1"/>
    </row>
    <row r="725" spans="11:11" ht="13.2">
      <c r="K725" s="1"/>
    </row>
    <row r="726" spans="11:11" ht="13.2">
      <c r="K726" s="1"/>
    </row>
    <row r="727" spans="11:11" ht="13.2">
      <c r="K727" s="1"/>
    </row>
    <row r="728" spans="11:11" ht="13.2">
      <c r="K728" s="1"/>
    </row>
    <row r="729" spans="11:11" ht="13.2">
      <c r="K729" s="1"/>
    </row>
    <row r="730" spans="11:11" ht="13.2">
      <c r="K730" s="1"/>
    </row>
    <row r="731" spans="11:11" ht="13.2">
      <c r="K731" s="1"/>
    </row>
    <row r="732" spans="11:11" ht="13.2">
      <c r="K732" s="1"/>
    </row>
    <row r="733" spans="11:11" ht="13.2">
      <c r="K733" s="1"/>
    </row>
    <row r="734" spans="11:11" ht="13.2">
      <c r="K734" s="1"/>
    </row>
    <row r="735" spans="11:11" ht="13.2">
      <c r="K735" s="1"/>
    </row>
    <row r="736" spans="11:11" ht="13.2">
      <c r="K736" s="1"/>
    </row>
    <row r="737" spans="11:11" ht="13.2">
      <c r="K737" s="1"/>
    </row>
    <row r="738" spans="11:11" ht="13.2">
      <c r="K738" s="1"/>
    </row>
    <row r="739" spans="11:11" ht="13.2">
      <c r="K739" s="1"/>
    </row>
    <row r="740" spans="11:11" ht="13.2">
      <c r="K740" s="1"/>
    </row>
    <row r="741" spans="11:11" ht="13.2">
      <c r="K741" s="1"/>
    </row>
    <row r="742" spans="11:11" ht="13.2">
      <c r="K742" s="1"/>
    </row>
    <row r="743" spans="11:11" ht="13.2">
      <c r="K743" s="1"/>
    </row>
    <row r="744" spans="11:11" ht="13.2">
      <c r="K744" s="1"/>
    </row>
    <row r="745" spans="11:11" ht="13.2">
      <c r="K745" s="1"/>
    </row>
    <row r="746" spans="11:11" ht="13.2">
      <c r="K746" s="1"/>
    </row>
    <row r="747" spans="11:11" ht="13.2">
      <c r="K747" s="1"/>
    </row>
    <row r="748" spans="11:11" ht="13.2">
      <c r="K748" s="1"/>
    </row>
    <row r="749" spans="11:11" ht="13.2">
      <c r="K749" s="1"/>
    </row>
    <row r="750" spans="11:11" ht="13.2">
      <c r="K750" s="1"/>
    </row>
    <row r="751" spans="11:11" ht="13.2">
      <c r="K751" s="1"/>
    </row>
    <row r="752" spans="11:11" ht="13.2">
      <c r="K752" s="1"/>
    </row>
    <row r="753" spans="11:11" ht="13.2">
      <c r="K753" s="1"/>
    </row>
    <row r="754" spans="11:11" ht="13.2">
      <c r="K754" s="1"/>
    </row>
    <row r="755" spans="11:11" ht="13.2">
      <c r="K755" s="1"/>
    </row>
    <row r="756" spans="11:11" ht="13.2">
      <c r="K756" s="1"/>
    </row>
    <row r="757" spans="11:11" ht="13.2">
      <c r="K757" s="1"/>
    </row>
    <row r="758" spans="11:11" ht="13.2">
      <c r="K758" s="1"/>
    </row>
    <row r="759" spans="11:11" ht="13.2">
      <c r="K759" s="1"/>
    </row>
    <row r="760" spans="11:11" ht="13.2">
      <c r="K760" s="1"/>
    </row>
    <row r="761" spans="11:11" ht="13.2">
      <c r="K761" s="1"/>
    </row>
    <row r="762" spans="11:11" ht="13.2">
      <c r="K762" s="1"/>
    </row>
    <row r="763" spans="11:11" ht="13.2">
      <c r="K763" s="1"/>
    </row>
    <row r="764" spans="11:11" ht="13.2">
      <c r="K764" s="1"/>
    </row>
    <row r="765" spans="11:11" ht="13.2">
      <c r="K765" s="1"/>
    </row>
    <row r="766" spans="11:11" ht="13.2">
      <c r="K766" s="1"/>
    </row>
    <row r="767" spans="11:11" ht="13.2">
      <c r="K767" s="1"/>
    </row>
    <row r="768" spans="11:11" ht="13.2">
      <c r="K768" s="1"/>
    </row>
    <row r="769" spans="11:11" ht="13.2">
      <c r="K769" s="1"/>
    </row>
    <row r="770" spans="11:11" ht="13.2">
      <c r="K770" s="1"/>
    </row>
    <row r="771" spans="11:11" ht="13.2">
      <c r="K771" s="1"/>
    </row>
    <row r="772" spans="11:11" ht="13.2">
      <c r="K772" s="1"/>
    </row>
    <row r="773" spans="11:11" ht="13.2">
      <c r="K773" s="1"/>
    </row>
    <row r="774" spans="11:11" ht="13.2">
      <c r="K774" s="1"/>
    </row>
    <row r="775" spans="11:11" ht="13.2">
      <c r="K775" s="1"/>
    </row>
    <row r="776" spans="11:11" ht="13.2">
      <c r="K776" s="1"/>
    </row>
    <row r="777" spans="11:11" ht="13.2">
      <c r="K777" s="1"/>
    </row>
    <row r="778" spans="11:11" ht="13.2">
      <c r="K778" s="1"/>
    </row>
    <row r="779" spans="11:11" ht="13.2">
      <c r="K779" s="1"/>
    </row>
    <row r="780" spans="11:11" ht="13.2">
      <c r="K780" s="1"/>
    </row>
    <row r="781" spans="11:11" ht="13.2">
      <c r="K781" s="1"/>
    </row>
    <row r="782" spans="11:11" ht="13.2">
      <c r="K782" s="1"/>
    </row>
    <row r="783" spans="11:11" ht="13.2">
      <c r="K783" s="1"/>
    </row>
    <row r="784" spans="11:11" ht="13.2">
      <c r="K784" s="1"/>
    </row>
    <row r="785" spans="11:11" ht="13.2">
      <c r="K785" s="1"/>
    </row>
    <row r="786" spans="11:11" ht="13.2">
      <c r="K786" s="1"/>
    </row>
    <row r="787" spans="11:11" ht="13.2">
      <c r="K787" s="1"/>
    </row>
    <row r="788" spans="11:11" ht="13.2">
      <c r="K788" s="1"/>
    </row>
    <row r="789" spans="11:11" ht="13.2">
      <c r="K789" s="1"/>
    </row>
    <row r="790" spans="11:11" ht="13.2">
      <c r="K790" s="1"/>
    </row>
    <row r="791" spans="11:11" ht="13.2">
      <c r="K791" s="1"/>
    </row>
    <row r="792" spans="11:11" ht="13.2">
      <c r="K792" s="1"/>
    </row>
    <row r="793" spans="11:11" ht="13.2">
      <c r="K793" s="1"/>
    </row>
    <row r="794" spans="11:11" ht="13.2">
      <c r="K794" s="1"/>
    </row>
    <row r="795" spans="11:11" ht="13.2">
      <c r="K795" s="1"/>
    </row>
    <row r="796" spans="11:11" ht="13.2">
      <c r="K796" s="1"/>
    </row>
    <row r="797" spans="11:11" ht="13.2">
      <c r="K797" s="1"/>
    </row>
    <row r="798" spans="11:11" ht="13.2">
      <c r="K798" s="1"/>
    </row>
    <row r="799" spans="11:11" ht="13.2">
      <c r="K799" s="1"/>
    </row>
    <row r="800" spans="11:11" ht="13.2">
      <c r="K800" s="1"/>
    </row>
    <row r="801" spans="11:11" ht="13.2">
      <c r="K801" s="1"/>
    </row>
    <row r="802" spans="11:11" ht="13.2">
      <c r="K802" s="1"/>
    </row>
    <row r="803" spans="11:11" ht="13.2">
      <c r="K803" s="1"/>
    </row>
    <row r="804" spans="11:11" ht="13.2">
      <c r="K804" s="1"/>
    </row>
    <row r="805" spans="11:11" ht="13.2">
      <c r="K805" s="1"/>
    </row>
    <row r="806" spans="11:11" ht="13.2">
      <c r="K806" s="1"/>
    </row>
    <row r="807" spans="11:11" ht="13.2">
      <c r="K807" s="1"/>
    </row>
    <row r="808" spans="11:11" ht="13.2">
      <c r="K808" s="1"/>
    </row>
    <row r="809" spans="11:11" ht="13.2">
      <c r="K809" s="1"/>
    </row>
    <row r="810" spans="11:11" ht="13.2">
      <c r="K810" s="1"/>
    </row>
    <row r="811" spans="11:11" ht="13.2">
      <c r="K811" s="1"/>
    </row>
    <row r="812" spans="11:11" ht="13.2">
      <c r="K812" s="1"/>
    </row>
    <row r="813" spans="11:11" ht="13.2">
      <c r="K813" s="1"/>
    </row>
    <row r="814" spans="11:11" ht="13.2">
      <c r="K814" s="1"/>
    </row>
    <row r="815" spans="11:11" ht="13.2">
      <c r="K815" s="1"/>
    </row>
    <row r="816" spans="11:11" ht="13.2">
      <c r="K816" s="1"/>
    </row>
    <row r="817" spans="11:11" ht="13.2">
      <c r="K817" s="1"/>
    </row>
    <row r="818" spans="11:11" ht="13.2">
      <c r="K818" s="1"/>
    </row>
    <row r="819" spans="11:11" ht="13.2">
      <c r="K819" s="1"/>
    </row>
    <row r="820" spans="11:11" ht="13.2">
      <c r="K820" s="1"/>
    </row>
    <row r="821" spans="11:11" ht="13.2">
      <c r="K821" s="1"/>
    </row>
    <row r="822" spans="11:11" ht="13.2">
      <c r="K822" s="1"/>
    </row>
    <row r="823" spans="11:11" ht="13.2">
      <c r="K823" s="1"/>
    </row>
    <row r="824" spans="11:11" ht="13.2">
      <c r="K824" s="1"/>
    </row>
    <row r="825" spans="11:11" ht="13.2">
      <c r="K825" s="1"/>
    </row>
    <row r="826" spans="11:11" ht="13.2">
      <c r="K826" s="1"/>
    </row>
    <row r="827" spans="11:11" ht="13.2">
      <c r="K827" s="1"/>
    </row>
    <row r="828" spans="11:11" ht="13.2">
      <c r="K828" s="1"/>
    </row>
    <row r="829" spans="11:11" ht="13.2">
      <c r="K829" s="1"/>
    </row>
    <row r="830" spans="11:11" ht="13.2">
      <c r="K830" s="1"/>
    </row>
    <row r="831" spans="11:11" ht="13.2">
      <c r="K831" s="1"/>
    </row>
    <row r="832" spans="11:11" ht="13.2">
      <c r="K832" s="1"/>
    </row>
    <row r="833" spans="11:11" ht="13.2">
      <c r="K833" s="1"/>
    </row>
    <row r="834" spans="11:11" ht="13.2">
      <c r="K834" s="1"/>
    </row>
    <row r="835" spans="11:11" ht="13.2">
      <c r="K835" s="1"/>
    </row>
    <row r="836" spans="11:11" ht="13.2">
      <c r="K836" s="1"/>
    </row>
    <row r="837" spans="11:11" ht="13.2">
      <c r="K837" s="1"/>
    </row>
    <row r="838" spans="11:11" ht="13.2">
      <c r="K838" s="1"/>
    </row>
    <row r="839" spans="11:11" ht="13.2">
      <c r="K839" s="1"/>
    </row>
    <row r="840" spans="11:11" ht="13.2">
      <c r="K840" s="1"/>
    </row>
    <row r="841" spans="11:11" ht="13.2">
      <c r="K841" s="1"/>
    </row>
    <row r="842" spans="11:11" ht="13.2">
      <c r="K842" s="1"/>
    </row>
    <row r="843" spans="11:11" ht="13.2">
      <c r="K843" s="1"/>
    </row>
    <row r="844" spans="11:11" ht="13.2">
      <c r="K844" s="1"/>
    </row>
    <row r="845" spans="11:11" ht="13.2">
      <c r="K845" s="1"/>
    </row>
    <row r="846" spans="11:11" ht="13.2">
      <c r="K846" s="1"/>
    </row>
    <row r="847" spans="11:11" ht="13.2">
      <c r="K847" s="1"/>
    </row>
    <row r="848" spans="11:11" ht="13.2">
      <c r="K848" s="1"/>
    </row>
    <row r="849" spans="11:11" ht="13.2">
      <c r="K849" s="1"/>
    </row>
    <row r="850" spans="11:11" ht="13.2">
      <c r="K850" s="1"/>
    </row>
    <row r="851" spans="11:11" ht="13.2">
      <c r="K851" s="1"/>
    </row>
    <row r="852" spans="11:11" ht="13.2">
      <c r="K852" s="1"/>
    </row>
    <row r="853" spans="11:11" ht="13.2">
      <c r="K853" s="1"/>
    </row>
    <row r="854" spans="11:11" ht="13.2">
      <c r="K854" s="1"/>
    </row>
    <row r="855" spans="11:11" ht="13.2">
      <c r="K855" s="1"/>
    </row>
    <row r="856" spans="11:11" ht="13.2">
      <c r="K856" s="1"/>
    </row>
    <row r="857" spans="11:11" ht="13.2">
      <c r="K857" s="1"/>
    </row>
    <row r="858" spans="11:11" ht="13.2">
      <c r="K858" s="1"/>
    </row>
    <row r="859" spans="11:11" ht="13.2">
      <c r="K859" s="1"/>
    </row>
    <row r="860" spans="11:11" ht="13.2">
      <c r="K860" s="1"/>
    </row>
    <row r="861" spans="11:11" ht="13.2">
      <c r="K861" s="1"/>
    </row>
    <row r="862" spans="11:11" ht="13.2">
      <c r="K862" s="1"/>
    </row>
    <row r="863" spans="11:11" ht="13.2">
      <c r="K863" s="1"/>
    </row>
    <row r="864" spans="11:11" ht="13.2">
      <c r="K864" s="1"/>
    </row>
    <row r="865" spans="11:11" ht="13.2">
      <c r="K865" s="1"/>
    </row>
    <row r="866" spans="11:11" ht="13.2">
      <c r="K866" s="1"/>
    </row>
    <row r="867" spans="11:11" ht="13.2">
      <c r="K867" s="1"/>
    </row>
    <row r="868" spans="11:11" ht="13.2">
      <c r="K868" s="1"/>
    </row>
    <row r="869" spans="11:11" ht="13.2">
      <c r="K869" s="1"/>
    </row>
    <row r="870" spans="11:11" ht="13.2">
      <c r="K870" s="1"/>
    </row>
    <row r="871" spans="11:11" ht="13.2">
      <c r="K871" s="1"/>
    </row>
    <row r="872" spans="11:11" ht="13.2">
      <c r="K872" s="1"/>
    </row>
    <row r="873" spans="11:11" ht="13.2">
      <c r="K873" s="1"/>
    </row>
    <row r="874" spans="11:11" ht="13.2">
      <c r="K874" s="1"/>
    </row>
    <row r="875" spans="11:11" ht="13.2">
      <c r="K875" s="1"/>
    </row>
    <row r="876" spans="11:11" ht="13.2">
      <c r="K876" s="1"/>
    </row>
    <row r="877" spans="11:11" ht="13.2">
      <c r="K877" s="1"/>
    </row>
    <row r="878" spans="11:11" ht="13.2">
      <c r="K878" s="1"/>
    </row>
    <row r="879" spans="11:11" ht="13.2">
      <c r="K879" s="1"/>
    </row>
    <row r="880" spans="11:11" ht="13.2">
      <c r="K880" s="1"/>
    </row>
    <row r="881" spans="11:11" ht="13.2">
      <c r="K881" s="1"/>
    </row>
    <row r="882" spans="11:11" ht="13.2">
      <c r="K882" s="1"/>
    </row>
    <row r="883" spans="11:11" ht="13.2">
      <c r="K883" s="1"/>
    </row>
    <row r="884" spans="11:11" ht="13.2">
      <c r="K884" s="1"/>
    </row>
    <row r="885" spans="11:11" ht="13.2">
      <c r="K885" s="1"/>
    </row>
    <row r="886" spans="11:11" ht="13.2">
      <c r="K886" s="1"/>
    </row>
    <row r="887" spans="11:11" ht="13.2">
      <c r="K887" s="1"/>
    </row>
    <row r="888" spans="11:11" ht="13.2">
      <c r="K888" s="1"/>
    </row>
    <row r="889" spans="11:11" ht="13.2">
      <c r="K889" s="1"/>
    </row>
    <row r="890" spans="11:11" ht="13.2">
      <c r="K890" s="1"/>
    </row>
    <row r="891" spans="11:11" ht="13.2">
      <c r="K891" s="1"/>
    </row>
    <row r="892" spans="11:11" ht="13.2">
      <c r="K892" s="1"/>
    </row>
    <row r="893" spans="11:11" ht="13.2">
      <c r="K893" s="1"/>
    </row>
    <row r="894" spans="11:11" ht="13.2">
      <c r="K894" s="1"/>
    </row>
    <row r="895" spans="11:11" ht="13.2">
      <c r="K895" s="1"/>
    </row>
    <row r="896" spans="11:11" ht="13.2">
      <c r="K896" s="1"/>
    </row>
    <row r="897" spans="11:11" ht="13.2">
      <c r="K897" s="1"/>
    </row>
    <row r="898" spans="11:11" ht="13.2">
      <c r="K898" s="1"/>
    </row>
    <row r="899" spans="11:11" ht="13.2">
      <c r="K899" s="1"/>
    </row>
    <row r="900" spans="11:11" ht="13.2">
      <c r="K900" s="1"/>
    </row>
    <row r="901" spans="11:11" ht="13.2">
      <c r="K901" s="1"/>
    </row>
    <row r="902" spans="11:11" ht="13.2">
      <c r="K902" s="1"/>
    </row>
    <row r="903" spans="11:11" ht="13.2">
      <c r="K903" s="1"/>
    </row>
    <row r="904" spans="11:11" ht="13.2">
      <c r="K904" s="1"/>
    </row>
    <row r="905" spans="11:11" ht="13.2">
      <c r="K905" s="1"/>
    </row>
    <row r="906" spans="11:11" ht="13.2">
      <c r="K906" s="1"/>
    </row>
    <row r="907" spans="11:11" ht="13.2">
      <c r="K907" s="1"/>
    </row>
    <row r="908" spans="11:11" ht="13.2">
      <c r="K908" s="1"/>
    </row>
    <row r="909" spans="11:11" ht="13.2">
      <c r="K909" s="1"/>
    </row>
    <row r="910" spans="11:11" ht="13.2">
      <c r="K910" s="1"/>
    </row>
    <row r="911" spans="11:11" ht="13.2">
      <c r="K911" s="1"/>
    </row>
    <row r="912" spans="11:11" ht="13.2">
      <c r="K912" s="1"/>
    </row>
    <row r="913" spans="11:11" ht="13.2">
      <c r="K913" s="1"/>
    </row>
    <row r="914" spans="11:11" ht="13.2">
      <c r="K914" s="1"/>
    </row>
    <row r="915" spans="11:11" ht="13.2">
      <c r="K915" s="1"/>
    </row>
    <row r="916" spans="11:11" ht="13.2">
      <c r="K916" s="1"/>
    </row>
    <row r="917" spans="11:11" ht="13.2">
      <c r="K917" s="1"/>
    </row>
    <row r="918" spans="11:11" ht="13.2">
      <c r="K918" s="1"/>
    </row>
    <row r="919" spans="11:11" ht="13.2">
      <c r="K919" s="1"/>
    </row>
    <row r="920" spans="11:11" ht="13.2">
      <c r="K920" s="1"/>
    </row>
    <row r="921" spans="11:11" ht="13.2">
      <c r="K921" s="1"/>
    </row>
    <row r="922" spans="11:11" ht="13.2">
      <c r="K922" s="1"/>
    </row>
    <row r="923" spans="11:11" ht="13.2">
      <c r="K923" s="1"/>
    </row>
    <row r="924" spans="11:11" ht="13.2">
      <c r="K924" s="1"/>
    </row>
    <row r="925" spans="11:11" ht="13.2">
      <c r="K925" s="1"/>
    </row>
    <row r="926" spans="11:11" ht="13.2">
      <c r="K926" s="1"/>
    </row>
    <row r="927" spans="11:11" ht="13.2">
      <c r="K927" s="1"/>
    </row>
    <row r="928" spans="11:11" ht="13.2">
      <c r="K928" s="1"/>
    </row>
    <row r="929" spans="11:11" ht="13.2">
      <c r="K929" s="1"/>
    </row>
    <row r="930" spans="11:11" ht="13.2">
      <c r="K930" s="1"/>
    </row>
    <row r="931" spans="11:11" ht="13.2">
      <c r="K931" s="1"/>
    </row>
    <row r="932" spans="11:11" ht="13.2">
      <c r="K932" s="1"/>
    </row>
    <row r="933" spans="11:11" ht="13.2">
      <c r="K933" s="1"/>
    </row>
    <row r="934" spans="11:11" ht="13.2">
      <c r="K934" s="1"/>
    </row>
    <row r="935" spans="11:11" ht="13.2">
      <c r="K935" s="1"/>
    </row>
    <row r="936" spans="11:11" ht="13.2">
      <c r="K936" s="1"/>
    </row>
    <row r="937" spans="11:11" ht="13.2">
      <c r="K937" s="1"/>
    </row>
    <row r="938" spans="11:11" ht="13.2">
      <c r="K938" s="1"/>
    </row>
    <row r="939" spans="11:11" ht="13.2">
      <c r="K939" s="1"/>
    </row>
    <row r="940" spans="11:11" ht="13.2">
      <c r="K940" s="1"/>
    </row>
    <row r="941" spans="11:11" ht="13.2">
      <c r="K941" s="1"/>
    </row>
    <row r="942" spans="11:11" ht="13.2">
      <c r="K942" s="1"/>
    </row>
    <row r="943" spans="11:11" ht="13.2">
      <c r="K943" s="1"/>
    </row>
    <row r="944" spans="11:11" ht="13.2">
      <c r="K944" s="1"/>
    </row>
    <row r="945" spans="11:11" ht="13.2">
      <c r="K945" s="1"/>
    </row>
    <row r="946" spans="11:11" ht="13.2">
      <c r="K946" s="1"/>
    </row>
    <row r="947" spans="11:11" ht="13.2">
      <c r="K947" s="1"/>
    </row>
    <row r="948" spans="11:11" ht="13.2">
      <c r="K948" s="1"/>
    </row>
    <row r="949" spans="11:11" ht="13.2">
      <c r="K949" s="1"/>
    </row>
    <row r="950" spans="11:11" ht="13.2">
      <c r="K950" s="1"/>
    </row>
    <row r="951" spans="11:11" ht="13.2">
      <c r="K951" s="1"/>
    </row>
    <row r="952" spans="11:11" ht="13.2">
      <c r="K952" s="1"/>
    </row>
    <row r="953" spans="11:11" ht="13.2">
      <c r="K953" s="1"/>
    </row>
    <row r="954" spans="11:11" ht="13.2">
      <c r="K954" s="1"/>
    </row>
    <row r="955" spans="11:11" ht="13.2">
      <c r="K955" s="1"/>
    </row>
    <row r="956" spans="11:11" ht="13.2">
      <c r="K956" s="1"/>
    </row>
    <row r="957" spans="11:11" ht="13.2">
      <c r="K957" s="1"/>
    </row>
    <row r="958" spans="11:11" ht="13.2">
      <c r="K958" s="1"/>
    </row>
    <row r="959" spans="11:11" ht="13.2">
      <c r="K959" s="1"/>
    </row>
    <row r="960" spans="11:11" ht="13.2">
      <c r="K960" s="1"/>
    </row>
    <row r="961" spans="11:11" ht="13.2">
      <c r="K961" s="1"/>
    </row>
    <row r="962" spans="11:11" ht="13.2">
      <c r="K962" s="1"/>
    </row>
    <row r="963" spans="11:11" ht="13.2">
      <c r="K963" s="1"/>
    </row>
    <row r="964" spans="11:11" ht="13.2">
      <c r="K964" s="1"/>
    </row>
    <row r="965" spans="11:11" ht="13.2">
      <c r="K965" s="1"/>
    </row>
    <row r="966" spans="11:11" ht="13.2">
      <c r="K966" s="1"/>
    </row>
    <row r="967" spans="11:11" ht="13.2">
      <c r="K967" s="1"/>
    </row>
    <row r="968" spans="11:11" ht="13.2">
      <c r="K968" s="1"/>
    </row>
    <row r="969" spans="11:11" ht="13.2">
      <c r="K969" s="1"/>
    </row>
    <row r="970" spans="11:11" ht="13.2">
      <c r="K970" s="1"/>
    </row>
    <row r="971" spans="11:11" ht="13.2">
      <c r="K971" s="1"/>
    </row>
    <row r="972" spans="11:11" ht="13.2">
      <c r="K972" s="1"/>
    </row>
    <row r="973" spans="11:11" ht="13.2">
      <c r="K973" s="1"/>
    </row>
    <row r="974" spans="11:11" ht="13.2">
      <c r="K974" s="1"/>
    </row>
    <row r="975" spans="11:11" ht="13.2">
      <c r="K975" s="1"/>
    </row>
    <row r="976" spans="11:11" ht="13.2">
      <c r="K976" s="1"/>
    </row>
    <row r="977" spans="11:11" ht="13.2">
      <c r="K977" s="1"/>
    </row>
    <row r="978" spans="11:11" ht="13.2">
      <c r="K978" s="1"/>
    </row>
    <row r="979" spans="11:11" ht="13.2">
      <c r="K979" s="1"/>
    </row>
    <row r="980" spans="11:11" ht="13.2">
      <c r="K980" s="1"/>
    </row>
    <row r="981" spans="11:11" ht="13.2">
      <c r="K981" s="1"/>
    </row>
    <row r="982" spans="11:11" ht="13.2">
      <c r="K982" s="1"/>
    </row>
    <row r="983" spans="11:11" ht="13.2">
      <c r="K983" s="1"/>
    </row>
    <row r="984" spans="11:11" ht="13.2">
      <c r="K984" s="1"/>
    </row>
    <row r="985" spans="11:11" ht="13.2">
      <c r="K985" s="1"/>
    </row>
    <row r="986" spans="11:11" ht="13.2">
      <c r="K986" s="1"/>
    </row>
    <row r="987" spans="11:11" ht="13.2">
      <c r="K987" s="1"/>
    </row>
    <row r="988" spans="11:11" ht="13.2">
      <c r="K988" s="1"/>
    </row>
    <row r="989" spans="11:11" ht="13.2">
      <c r="K989" s="1"/>
    </row>
    <row r="990" spans="11:11" ht="13.2">
      <c r="K990" s="1"/>
    </row>
    <row r="991" spans="11:11" ht="13.2">
      <c r="K991" s="1"/>
    </row>
    <row r="992" spans="11:11" ht="13.2">
      <c r="K992" s="1"/>
    </row>
    <row r="993" spans="11:11" ht="13.2">
      <c r="K993" s="1"/>
    </row>
    <row r="994" spans="11:11" ht="13.2">
      <c r="K994" s="1"/>
    </row>
    <row r="995" spans="11:11" ht="13.2">
      <c r="K995" s="1"/>
    </row>
    <row r="996" spans="11:11" ht="13.2">
      <c r="K996" s="1"/>
    </row>
    <row r="997" spans="11:11" ht="13.2">
      <c r="K997" s="1"/>
    </row>
    <row r="998" spans="11:11" ht="13.2">
      <c r="K998" s="1"/>
    </row>
    <row r="999" spans="11:11" ht="13.2">
      <c r="K999" s="1"/>
    </row>
    <row r="1000" spans="11:11" ht="13.2">
      <c r="K1000" s="1"/>
    </row>
    <row r="1001" spans="11:11" ht="13.2">
      <c r="K1001" s="1"/>
    </row>
    <row r="1002" spans="11:11" ht="13.2">
      <c r="K1002" s="1"/>
    </row>
    <row r="1003" spans="11:11" ht="13.2">
      <c r="K1003" s="1"/>
    </row>
    <row r="1004" spans="11:11" ht="13.2">
      <c r="K1004" s="1"/>
    </row>
    <row r="1005" spans="11:11" ht="13.2">
      <c r="K1005" s="1"/>
    </row>
    <row r="1006" spans="11:11" ht="13.2">
      <c r="K1006" s="1"/>
    </row>
    <row r="1007" spans="11:11" ht="13.2">
      <c r="K1007" s="1"/>
    </row>
    <row r="1008" spans="11:11" ht="13.2">
      <c r="K1008" s="1"/>
    </row>
    <row r="1009" spans="11:11" ht="13.2">
      <c r="K1009" s="1"/>
    </row>
    <row r="1010" spans="11:11" ht="13.2">
      <c r="K1010" s="1"/>
    </row>
    <row r="1011" spans="11:11" ht="13.2">
      <c r="K1011" s="1"/>
    </row>
    <row r="1012" spans="11:11" ht="13.2">
      <c r="K1012" s="1"/>
    </row>
    <row r="1013" spans="11:11" ht="13.2">
      <c r="K1013" s="1"/>
    </row>
    <row r="1014" spans="11:11" ht="13.2">
      <c r="K1014" s="1"/>
    </row>
    <row r="1015" spans="11:11" ht="13.2">
      <c r="K1015" s="1"/>
    </row>
    <row r="1016" spans="11:11" ht="13.2">
      <c r="K1016" s="1"/>
    </row>
    <row r="1017" spans="11:11" ht="13.2">
      <c r="K1017" s="1"/>
    </row>
    <row r="1018" spans="11:11" ht="13.2">
      <c r="K1018" s="1"/>
    </row>
    <row r="1019" spans="11:11" ht="13.2">
      <c r="K1019" s="1"/>
    </row>
    <row r="1020" spans="11:11" ht="13.2">
      <c r="K1020" s="1"/>
    </row>
    <row r="1021" spans="11:11" ht="13.2">
      <c r="K1021" s="1"/>
    </row>
    <row r="1022" spans="11:11" ht="13.2">
      <c r="K1022" s="1"/>
    </row>
    <row r="1023" spans="11:11" ht="13.2">
      <c r="K1023" s="1"/>
    </row>
    <row r="1024" spans="11:11" ht="13.2">
      <c r="K1024" s="1"/>
    </row>
    <row r="1025" spans="11:11" ht="13.2">
      <c r="K1025" s="1"/>
    </row>
    <row r="1026" spans="11:11" ht="13.2">
      <c r="K1026" s="1"/>
    </row>
    <row r="1027" spans="11:11" ht="13.2">
      <c r="K1027" s="1"/>
    </row>
    <row r="1028" spans="11:11" ht="13.2">
      <c r="K1028" s="1"/>
    </row>
    <row r="1029" spans="11:11" ht="13.2">
      <c r="K1029" s="1"/>
    </row>
    <row r="1030" spans="11:11" ht="13.2">
      <c r="K1030" s="1"/>
    </row>
    <row r="1031" spans="11:11" ht="13.2">
      <c r="K1031" s="1"/>
    </row>
    <row r="1032" spans="11:11" ht="13.2">
      <c r="K1032" s="1"/>
    </row>
    <row r="1033" spans="11:11" ht="13.2">
      <c r="K1033" s="1"/>
    </row>
    <row r="1034" spans="11:11" ht="13.2">
      <c r="K1034" s="1"/>
    </row>
    <row r="1035" spans="11:11" ht="13.2">
      <c r="K103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41"/>
  <sheetViews>
    <sheetView showGridLines="0" workbookViewId="0">
      <selection activeCell="I8" sqref="I8"/>
    </sheetView>
  </sheetViews>
  <sheetFormatPr defaultColWidth="12.6640625" defaultRowHeight="15.75" customHeight="1"/>
  <cols>
    <col min="1" max="2" width="28.6640625" customWidth="1"/>
  </cols>
  <sheetData>
    <row r="1" spans="1:27">
      <c r="A1" s="74"/>
      <c r="B1" s="74"/>
      <c r="C1" s="74"/>
      <c r="D1" s="75"/>
      <c r="E1" s="75"/>
      <c r="F1" s="75"/>
      <c r="G1" s="75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>
      <c r="A2" s="74"/>
      <c r="B2" s="74" t="s">
        <v>76</v>
      </c>
      <c r="C2" s="74" t="s">
        <v>77</v>
      </c>
      <c r="D2" s="75">
        <v>1</v>
      </c>
      <c r="E2" s="75">
        <v>2</v>
      </c>
      <c r="F2" s="75">
        <v>3</v>
      </c>
      <c r="G2" s="75">
        <v>4</v>
      </c>
      <c r="H2" s="75">
        <v>5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>
      <c r="A3" s="31"/>
      <c r="B3" s="31"/>
      <c r="C3" s="31" t="s">
        <v>78</v>
      </c>
      <c r="D3" s="76" t="s">
        <v>79</v>
      </c>
      <c r="E3" s="76" t="s">
        <v>79</v>
      </c>
      <c r="F3" s="76" t="s">
        <v>79</v>
      </c>
      <c r="G3" s="76" t="s">
        <v>79</v>
      </c>
      <c r="H3" s="76" t="s">
        <v>79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>
      <c r="A4" s="77"/>
      <c r="B4" s="78"/>
      <c r="C4" s="79">
        <v>2022</v>
      </c>
      <c r="D4" s="80">
        <f t="shared" ref="D4:H4" si="0">C4+1</f>
        <v>2023</v>
      </c>
      <c r="E4" s="79">
        <f t="shared" si="0"/>
        <v>2024</v>
      </c>
      <c r="F4" s="79">
        <f t="shared" si="0"/>
        <v>2025</v>
      </c>
      <c r="G4" s="79">
        <f t="shared" si="0"/>
        <v>2026</v>
      </c>
      <c r="H4" s="79">
        <f t="shared" si="0"/>
        <v>2027</v>
      </c>
      <c r="I4" s="81" t="s">
        <v>80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>
      <c r="A5" s="4"/>
      <c r="B5" s="4" t="s">
        <v>81</v>
      </c>
      <c r="C5" s="23">
        <f>'Base Case Model'!J48</f>
        <v>6558</v>
      </c>
      <c r="D5" s="82">
        <f t="shared" ref="D5:I5" si="1">C5*(1+D6)</f>
        <v>6887.8250000000007</v>
      </c>
      <c r="E5" s="23">
        <f t="shared" si="1"/>
        <v>7339.9039999999995</v>
      </c>
      <c r="F5" s="23">
        <f t="shared" si="1"/>
        <v>7769.3219498249973</v>
      </c>
      <c r="G5" s="23">
        <f t="shared" si="1"/>
        <v>8305.2544556011162</v>
      </c>
      <c r="H5" s="23">
        <f t="shared" si="1"/>
        <v>8762.8116130748804</v>
      </c>
      <c r="I5" s="23">
        <f t="shared" si="1"/>
        <v>9200.9521937286245</v>
      </c>
    </row>
    <row r="6" spans="1:27">
      <c r="A6" s="4"/>
      <c r="B6" s="4" t="s">
        <v>31</v>
      </c>
      <c r="C6" s="25">
        <f>'Base Case Model'!J49</f>
        <v>0.66446700507614209</v>
      </c>
      <c r="D6" s="83">
        <f>'Base Case Model'!K49</f>
        <v>5.029353461421171E-2</v>
      </c>
      <c r="E6" s="84">
        <f>'Base Case Model'!L49</f>
        <v>6.5634507264629827E-2</v>
      </c>
      <c r="F6" s="84">
        <f>'Base Case Model'!M49</f>
        <v>5.850457306049206E-2</v>
      </c>
      <c r="G6" s="84">
        <f>'Base Case Model'!N49</f>
        <v>6.8980602070196184E-2</v>
      </c>
      <c r="H6" s="84">
        <f>'Base Case Model'!O49</f>
        <v>5.5092491135558808E-2</v>
      </c>
      <c r="I6" s="84">
        <v>0.05</v>
      </c>
    </row>
    <row r="7" spans="1:27">
      <c r="A7" s="4"/>
      <c r="B7" s="4" t="s">
        <v>24</v>
      </c>
      <c r="C7" s="23">
        <f>'Base Case Model'!J102</f>
        <v>457</v>
      </c>
      <c r="D7" s="82">
        <f t="shared" ref="D7:I7" si="2">D8*D5</f>
        <v>622.04875000000004</v>
      </c>
      <c r="E7" s="23">
        <f t="shared" si="2"/>
        <v>785.99893499999985</v>
      </c>
      <c r="F7" s="23">
        <f t="shared" si="2"/>
        <v>950.95943292174957</v>
      </c>
      <c r="G7" s="23">
        <f t="shared" si="2"/>
        <v>1082.2107129667565</v>
      </c>
      <c r="H7" s="23">
        <f t="shared" si="2"/>
        <v>1207.3518090999266</v>
      </c>
      <c r="I7" s="23">
        <f t="shared" si="2"/>
        <v>1288.1333071220076</v>
      </c>
    </row>
    <row r="8" spans="1:27">
      <c r="A8" s="4"/>
      <c r="B8" s="4" t="s">
        <v>43</v>
      </c>
      <c r="C8" s="25">
        <f>'Base Case Model'!J103</f>
        <v>6.9685879841415069E-2</v>
      </c>
      <c r="D8" s="83">
        <f>'Base Case Model'!K103</f>
        <v>9.0311346470039522E-2</v>
      </c>
      <c r="E8" s="84">
        <f>'Base Case Model'!L103</f>
        <v>0.10708572414571088</v>
      </c>
      <c r="F8" s="84">
        <f>'Base Case Model'!M103</f>
        <v>0.12239928259674833</v>
      </c>
      <c r="G8" s="84">
        <f>'Base Case Model'!N103</f>
        <v>0.13030434151682213</v>
      </c>
      <c r="H8" s="84">
        <f>'Base Case Model'!O103</f>
        <v>0.13778132663475867</v>
      </c>
      <c r="I8" s="85">
        <v>0.14000000000000001</v>
      </c>
    </row>
    <row r="9" spans="1:27">
      <c r="A9" s="4"/>
      <c r="B9" s="4" t="s">
        <v>82</v>
      </c>
      <c r="C9" s="23">
        <f>'Base Case Model'!J79</f>
        <v>295</v>
      </c>
      <c r="D9" s="82">
        <f>'Base Case Model'!K79</f>
        <v>298.625</v>
      </c>
      <c r="E9" s="23">
        <f>'Base Case Model'!L79</f>
        <v>309.24357500000002</v>
      </c>
      <c r="F9" s="23">
        <f>'Base Case Model'!M79</f>
        <v>324.66857162499997</v>
      </c>
      <c r="G9" s="23">
        <f>'Base Case Model'!N79</f>
        <v>340.87860706437499</v>
      </c>
      <c r="H9" s="23">
        <f>'Base Case Model'!O79</f>
        <v>356.78080045759373</v>
      </c>
      <c r="I9" s="23">
        <f>I5*4%</f>
        <v>368.03808774914501</v>
      </c>
    </row>
    <row r="10" spans="1:27">
      <c r="A10" s="4"/>
      <c r="B10" s="4" t="s">
        <v>83</v>
      </c>
      <c r="C10" s="23">
        <f t="shared" ref="C10:I10" si="3">C7-C9</f>
        <v>162</v>
      </c>
      <c r="D10" s="82">
        <f t="shared" si="3"/>
        <v>323.42375000000004</v>
      </c>
      <c r="E10" s="23">
        <f t="shared" si="3"/>
        <v>476.75535999999983</v>
      </c>
      <c r="F10" s="23">
        <f t="shared" si="3"/>
        <v>626.29086129674965</v>
      </c>
      <c r="G10" s="23">
        <f t="shared" si="3"/>
        <v>741.3321059023815</v>
      </c>
      <c r="H10" s="23">
        <f t="shared" si="3"/>
        <v>850.57100864233291</v>
      </c>
      <c r="I10" s="23">
        <f t="shared" si="3"/>
        <v>920.09521937286263</v>
      </c>
    </row>
    <row r="11" spans="1:27">
      <c r="A11" s="4"/>
      <c r="B11" s="4" t="s">
        <v>84</v>
      </c>
      <c r="C11" s="23">
        <f>'Base Case Model'!J63</f>
        <v>20</v>
      </c>
      <c r="D11" s="82">
        <f>'Base Case Model'!K63</f>
        <v>38.085337500000009</v>
      </c>
      <c r="E11" s="23">
        <f>'Base Case Model'!L63</f>
        <v>72.594975599999984</v>
      </c>
      <c r="F11" s="23">
        <f>'Base Case Model'!M63</f>
        <v>106.80802260926349</v>
      </c>
      <c r="G11" s="23">
        <f>'Base Case Model'!N63</f>
        <v>130.68067476996811</v>
      </c>
      <c r="H11" s="23">
        <f>'Base Case Model'!O63</f>
        <v>150.73008502468167</v>
      </c>
      <c r="I11" s="4">
        <v>150</v>
      </c>
    </row>
    <row r="12" spans="1:27">
      <c r="A12" s="4"/>
      <c r="B12" s="4" t="s">
        <v>46</v>
      </c>
      <c r="C12" s="23">
        <f t="shared" ref="C12:I12" si="4">C10-C11</f>
        <v>142</v>
      </c>
      <c r="D12" s="82">
        <f t="shared" si="4"/>
        <v>285.3384125</v>
      </c>
      <c r="E12" s="23">
        <f t="shared" si="4"/>
        <v>404.16038439999983</v>
      </c>
      <c r="F12" s="23">
        <f t="shared" si="4"/>
        <v>519.48283868748615</v>
      </c>
      <c r="G12" s="23">
        <f t="shared" si="4"/>
        <v>610.65143113241334</v>
      </c>
      <c r="H12" s="23">
        <f t="shared" si="4"/>
        <v>699.84092361765124</v>
      </c>
      <c r="I12" s="23">
        <f t="shared" si="4"/>
        <v>770.09521937286263</v>
      </c>
    </row>
    <row r="13" spans="1:27">
      <c r="A13" s="4"/>
      <c r="B13" s="4" t="s">
        <v>85</v>
      </c>
      <c r="C13" s="23">
        <f t="shared" ref="C13:I13" si="5">C9</f>
        <v>295</v>
      </c>
      <c r="D13" s="82">
        <f t="shared" si="5"/>
        <v>298.625</v>
      </c>
      <c r="E13" s="23">
        <f t="shared" si="5"/>
        <v>309.24357500000002</v>
      </c>
      <c r="F13" s="23">
        <f t="shared" si="5"/>
        <v>324.66857162499997</v>
      </c>
      <c r="G13" s="23">
        <f t="shared" si="5"/>
        <v>340.87860706437499</v>
      </c>
      <c r="H13" s="23">
        <f t="shared" si="5"/>
        <v>356.78080045759373</v>
      </c>
      <c r="I13" s="23">
        <f t="shared" si="5"/>
        <v>368.03808774914501</v>
      </c>
    </row>
    <row r="14" spans="1:27">
      <c r="A14" s="4"/>
      <c r="B14" s="4" t="s">
        <v>86</v>
      </c>
      <c r="C14" s="23">
        <f>'Base Case Model'!J86</f>
        <v>74</v>
      </c>
      <c r="D14" s="82">
        <f>'Base Case Model'!K86</f>
        <v>76.913125000000008</v>
      </c>
      <c r="E14" s="23">
        <f>'Base Case Model'!L86</f>
        <v>78.240446875000004</v>
      </c>
      <c r="F14" s="23">
        <f>'Base Case Model'!M86</f>
        <v>81.751971453124995</v>
      </c>
      <c r="G14" s="23">
        <f>'Base Case Model'!N86</f>
        <v>85.424961883046876</v>
      </c>
      <c r="H14" s="23">
        <f>'Base Case Model'!O86</f>
        <v>89.12534149719923</v>
      </c>
      <c r="I14" s="23">
        <f>I5*1.1%</f>
        <v>101.21047413101488</v>
      </c>
    </row>
    <row r="15" spans="1:27">
      <c r="D15" s="86"/>
    </row>
    <row r="16" spans="1:27">
      <c r="A16" s="31"/>
      <c r="B16" s="87" t="s">
        <v>87</v>
      </c>
      <c r="C16" s="88">
        <f t="shared" ref="C16:I16" si="6">C12+C13-C14</f>
        <v>363</v>
      </c>
      <c r="D16" s="89">
        <f t="shared" si="6"/>
        <v>507.05028749999997</v>
      </c>
      <c r="E16" s="88">
        <f t="shared" si="6"/>
        <v>635.16351252499987</v>
      </c>
      <c r="F16" s="88">
        <f t="shared" si="6"/>
        <v>762.39943885936123</v>
      </c>
      <c r="G16" s="88">
        <f t="shared" si="6"/>
        <v>866.10507631374151</v>
      </c>
      <c r="H16" s="88">
        <f t="shared" si="6"/>
        <v>967.49638257804565</v>
      </c>
      <c r="I16" s="88">
        <f t="shared" si="6"/>
        <v>1036.9228329909927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9">
      <c r="A17" s="4"/>
      <c r="B17" s="4" t="s">
        <v>31</v>
      </c>
      <c r="D17" s="25">
        <f t="shared" ref="D17:I17" si="7">D16/C16-1</f>
        <v>0.39683274793388423</v>
      </c>
      <c r="E17" s="25">
        <f t="shared" si="7"/>
        <v>0.25266374595044461</v>
      </c>
      <c r="F17" s="25">
        <f t="shared" si="7"/>
        <v>0.20031995513809275</v>
      </c>
      <c r="G17" s="25">
        <f t="shared" si="7"/>
        <v>0.13602533287476715</v>
      </c>
      <c r="H17" s="25">
        <f t="shared" si="7"/>
        <v>0.11706582611874183</v>
      </c>
      <c r="I17" s="25">
        <f t="shared" si="7"/>
        <v>7.1758873379918375E-2</v>
      </c>
    </row>
    <row r="19" spans="1:9">
      <c r="A19" s="4"/>
      <c r="B19" s="4" t="s">
        <v>88</v>
      </c>
      <c r="C19" s="85">
        <v>0.12</v>
      </c>
      <c r="D19" s="4"/>
      <c r="E19" s="4"/>
      <c r="F19" s="4"/>
      <c r="G19" s="4"/>
    </row>
    <row r="20" spans="1:9">
      <c r="A20" s="4"/>
      <c r="B20" s="4" t="s">
        <v>89</v>
      </c>
      <c r="C20" s="85">
        <v>0.03</v>
      </c>
      <c r="D20" s="4"/>
      <c r="E20" s="4"/>
      <c r="F20" s="4"/>
      <c r="G20" s="4"/>
    </row>
    <row r="21" spans="1:9">
      <c r="A21" s="4"/>
      <c r="B21" s="4" t="s">
        <v>90</v>
      </c>
      <c r="D21" s="4">
        <v>0.75</v>
      </c>
      <c r="E21" s="4">
        <v>1</v>
      </c>
      <c r="F21" s="4">
        <v>1</v>
      </c>
      <c r="G21" s="4">
        <v>1</v>
      </c>
      <c r="H21" s="4">
        <v>1</v>
      </c>
    </row>
    <row r="22" spans="1:9">
      <c r="A22" s="4"/>
      <c r="B22" s="4" t="s">
        <v>91</v>
      </c>
      <c r="D22" s="23">
        <f t="shared" ref="D22:H22" si="8">D16*D21</f>
        <v>380.28771562499998</v>
      </c>
      <c r="E22" s="23">
        <f t="shared" si="8"/>
        <v>635.16351252499987</v>
      </c>
      <c r="F22" s="23">
        <f t="shared" si="8"/>
        <v>762.39943885936123</v>
      </c>
      <c r="G22" s="23">
        <f t="shared" si="8"/>
        <v>866.10507631374151</v>
      </c>
      <c r="H22" s="23">
        <f t="shared" si="8"/>
        <v>967.49638257804565</v>
      </c>
    </row>
    <row r="23" spans="1:9">
      <c r="A23" s="4"/>
      <c r="B23" s="4" t="s">
        <v>92</v>
      </c>
      <c r="D23" s="90">
        <f t="shared" ref="D23:H23" si="9">(1/(1+$C$19)^D2)</f>
        <v>0.89285714285714279</v>
      </c>
      <c r="E23" s="90">
        <f t="shared" si="9"/>
        <v>0.79719387755102034</v>
      </c>
      <c r="F23" s="90">
        <f t="shared" si="9"/>
        <v>0.71178024781341087</v>
      </c>
      <c r="G23" s="90">
        <f t="shared" si="9"/>
        <v>0.63551807840483121</v>
      </c>
      <c r="H23" s="90">
        <f t="shared" si="9"/>
        <v>0.56742685571859919</v>
      </c>
    </row>
    <row r="25" spans="1:9">
      <c r="A25" s="4"/>
      <c r="B25" s="4" t="s">
        <v>93</v>
      </c>
      <c r="C25" s="23">
        <f>SUMPRODUCT(D23:H23, D22:H22)</f>
        <v>2487.9607922704172</v>
      </c>
    </row>
    <row r="26" spans="1:9">
      <c r="A26" s="4"/>
      <c r="B26" s="4" t="s">
        <v>94</v>
      </c>
      <c r="C26" s="23">
        <f>I16/(C19-C20)</f>
        <v>11521.36481101103</v>
      </c>
    </row>
    <row r="27" spans="1:9">
      <c r="A27" s="4"/>
      <c r="B27" s="4" t="s">
        <v>95</v>
      </c>
      <c r="C27" s="23">
        <f>C26*H23</f>
        <v>6537.5318082989015</v>
      </c>
    </row>
    <row r="29" spans="1:9">
      <c r="A29" s="4"/>
      <c r="B29" s="4" t="s">
        <v>96</v>
      </c>
      <c r="C29" s="23">
        <v>2184</v>
      </c>
    </row>
    <row r="30" spans="1:9">
      <c r="A30" s="4"/>
      <c r="B30" s="4" t="s">
        <v>97</v>
      </c>
      <c r="C30" s="23">
        <f>C27+C25-C29</f>
        <v>6841.4926005693196</v>
      </c>
    </row>
    <row r="31" spans="1:9">
      <c r="A31" s="4"/>
      <c r="B31" s="4" t="s">
        <v>45</v>
      </c>
      <c r="C31" s="4">
        <v>233</v>
      </c>
    </row>
    <row r="32" spans="1:9">
      <c r="A32" s="31"/>
      <c r="B32" s="31" t="s">
        <v>98</v>
      </c>
      <c r="C32" s="66">
        <f>C30/C31</f>
        <v>29.362629186992788</v>
      </c>
    </row>
    <row r="33" spans="1:3">
      <c r="A33" s="31"/>
      <c r="B33" s="31" t="s">
        <v>99</v>
      </c>
      <c r="C33" s="66">
        <f ca="1">IFERROR(__xludf.DUMMYFUNCTION("GOOGLEFINANCE(C2)"),20.91)</f>
        <v>20.91</v>
      </c>
    </row>
    <row r="34" spans="1:3">
      <c r="A34" s="31"/>
      <c r="B34" s="31"/>
    </row>
    <row r="35" spans="1:3">
      <c r="A35" s="31"/>
      <c r="B35" s="31" t="s">
        <v>100</v>
      </c>
      <c r="C35" s="67">
        <f ca="1">C32/C33-1</f>
        <v>0.4042386029169196</v>
      </c>
    </row>
    <row r="37" spans="1:3">
      <c r="A37" s="4"/>
      <c r="B37" s="4" t="s">
        <v>101</v>
      </c>
      <c r="C37" s="58">
        <f ca="1">C41/D5</f>
        <v>1.0244206262499409</v>
      </c>
    </row>
    <row r="38" spans="1:3">
      <c r="A38" s="4"/>
      <c r="B38" s="4" t="s">
        <v>102</v>
      </c>
      <c r="C38" s="58">
        <f ca="1">C41/D7</f>
        <v>11.343210640645125</v>
      </c>
    </row>
    <row r="39" spans="1:3">
      <c r="A39" s="4"/>
      <c r="B39" s="4" t="s">
        <v>103</v>
      </c>
      <c r="C39" s="58">
        <f ca="1">C41/D16</f>
        <v>13.915838673102025</v>
      </c>
    </row>
    <row r="41" spans="1:3">
      <c r="C41" s="23">
        <f ca="1">(C33*C31)+C29</f>
        <v>7056.03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35"/>
  <sheetViews>
    <sheetView showGridLines="0" workbookViewId="0"/>
  </sheetViews>
  <sheetFormatPr defaultColWidth="12.6640625" defaultRowHeight="15.75" customHeight="1"/>
  <sheetData>
    <row r="1" spans="2:21">
      <c r="B1" s="31" t="s">
        <v>104</v>
      </c>
      <c r="I1" s="31" t="s">
        <v>105</v>
      </c>
      <c r="P1" s="31" t="s">
        <v>106</v>
      </c>
    </row>
    <row r="2" spans="2:21">
      <c r="B2" s="91" t="s">
        <v>0</v>
      </c>
      <c r="C2" s="92">
        <f ca="1">IFERROR(__xludf.DUMMYFUNCTION("GOOGLEFINANCE(B2)"),20.91)</f>
        <v>20.91</v>
      </c>
      <c r="D2" s="91"/>
      <c r="E2" s="93">
        <v>1</v>
      </c>
      <c r="F2" s="93">
        <v>2</v>
      </c>
      <c r="G2" s="93">
        <v>3</v>
      </c>
      <c r="I2" s="91" t="s">
        <v>0</v>
      </c>
      <c r="J2" s="92">
        <f ca="1">IFERROR(__xludf.DUMMYFUNCTION("GOOGLEFINANCE(I2)"),20.91)</f>
        <v>20.91</v>
      </c>
      <c r="K2" s="91"/>
      <c r="L2" s="93">
        <v>1</v>
      </c>
      <c r="M2" s="93">
        <v>2</v>
      </c>
      <c r="N2" s="93">
        <v>3</v>
      </c>
      <c r="P2" s="91" t="s">
        <v>0</v>
      </c>
      <c r="Q2" s="92">
        <f ca="1">IFERROR(__xludf.DUMMYFUNCTION("GOOGLEFINANCE(P2)"),20.91)</f>
        <v>20.91</v>
      </c>
      <c r="R2" s="91"/>
      <c r="S2" s="93">
        <v>1</v>
      </c>
      <c r="T2" s="93">
        <v>2</v>
      </c>
      <c r="U2" s="93">
        <v>3</v>
      </c>
    </row>
    <row r="3" spans="2:21">
      <c r="B3" s="91"/>
      <c r="C3" s="91"/>
      <c r="D3" s="94">
        <v>2022</v>
      </c>
      <c r="E3" s="94">
        <f t="shared" ref="E3:G3" si="0">D3+1</f>
        <v>2023</v>
      </c>
      <c r="F3" s="94">
        <f t="shared" si="0"/>
        <v>2024</v>
      </c>
      <c r="G3" s="94">
        <f t="shared" si="0"/>
        <v>2025</v>
      </c>
      <c r="I3" s="91"/>
      <c r="J3" s="91"/>
      <c r="K3" s="94">
        <v>2022</v>
      </c>
      <c r="L3" s="94">
        <f t="shared" ref="L3:N3" si="1">K3+1</f>
        <v>2023</v>
      </c>
      <c r="M3" s="94">
        <f t="shared" si="1"/>
        <v>2024</v>
      </c>
      <c r="N3" s="94">
        <f t="shared" si="1"/>
        <v>2025</v>
      </c>
      <c r="P3" s="91"/>
      <c r="Q3" s="91"/>
      <c r="R3" s="94">
        <v>2022</v>
      </c>
      <c r="S3" s="94">
        <f t="shared" ref="S3:U3" si="2">R3+1</f>
        <v>2023</v>
      </c>
      <c r="T3" s="94">
        <f t="shared" si="2"/>
        <v>2024</v>
      </c>
      <c r="U3" s="94">
        <f t="shared" si="2"/>
        <v>2025</v>
      </c>
    </row>
    <row r="4" spans="2:21">
      <c r="B4" s="22" t="s">
        <v>81</v>
      </c>
      <c r="C4" s="22"/>
      <c r="D4" s="95">
        <v>6558</v>
      </c>
      <c r="E4" s="95">
        <f t="shared" ref="E4:G4" si="3">D4*(1+E5)</f>
        <v>6754.74</v>
      </c>
      <c r="F4" s="95">
        <f t="shared" si="3"/>
        <v>6957.3822</v>
      </c>
      <c r="G4" s="95">
        <f t="shared" si="3"/>
        <v>7166.103666</v>
      </c>
      <c r="I4" s="22" t="s">
        <v>81</v>
      </c>
      <c r="J4" s="22"/>
      <c r="K4" s="95">
        <v>6558</v>
      </c>
      <c r="L4" s="95">
        <f t="shared" ref="L4:N4" si="4">K4*(1+L5)</f>
        <v>6885.9000000000005</v>
      </c>
      <c r="M4" s="95">
        <f t="shared" si="4"/>
        <v>7230.1950000000006</v>
      </c>
      <c r="N4" s="95">
        <f t="shared" si="4"/>
        <v>7591.7047500000008</v>
      </c>
      <c r="P4" s="22" t="s">
        <v>81</v>
      </c>
      <c r="Q4" s="22"/>
      <c r="R4" s="95">
        <v>6450</v>
      </c>
      <c r="S4" s="95">
        <f t="shared" ref="S4:U4" si="5">R4*(1+S5)</f>
        <v>6901.5</v>
      </c>
      <c r="T4" s="95">
        <f t="shared" si="5"/>
        <v>7384.6050000000005</v>
      </c>
      <c r="U4" s="95">
        <f t="shared" si="5"/>
        <v>7901.5273500000012</v>
      </c>
    </row>
    <row r="5" spans="2:21">
      <c r="B5" s="22" t="s">
        <v>11</v>
      </c>
      <c r="C5" s="22"/>
      <c r="D5" s="96"/>
      <c r="E5" s="96">
        <v>0.03</v>
      </c>
      <c r="F5" s="96">
        <v>0.03</v>
      </c>
      <c r="G5" s="96">
        <v>0.03</v>
      </c>
      <c r="I5" s="22" t="s">
        <v>11</v>
      </c>
      <c r="J5" s="22"/>
      <c r="K5" s="96"/>
      <c r="L5" s="96">
        <v>0.05</v>
      </c>
      <c r="M5" s="96">
        <v>0.05</v>
      </c>
      <c r="N5" s="96">
        <v>0.05</v>
      </c>
      <c r="P5" s="22" t="s">
        <v>11</v>
      </c>
      <c r="Q5" s="22"/>
      <c r="R5" s="96"/>
      <c r="S5" s="96">
        <v>7.0000000000000007E-2</v>
      </c>
      <c r="T5" s="96">
        <v>7.0000000000000007E-2</v>
      </c>
      <c r="U5" s="96">
        <v>7.0000000000000007E-2</v>
      </c>
    </row>
    <row r="6" spans="2:21">
      <c r="B6" s="22"/>
      <c r="C6" s="22"/>
      <c r="D6" s="95"/>
      <c r="E6" s="95"/>
      <c r="F6" s="95"/>
      <c r="G6" s="95"/>
      <c r="I6" s="22"/>
      <c r="J6" s="22"/>
      <c r="K6" s="95"/>
      <c r="L6" s="95"/>
      <c r="M6" s="95"/>
      <c r="N6" s="95"/>
      <c r="P6" s="22"/>
      <c r="Q6" s="22"/>
      <c r="R6" s="95"/>
      <c r="S6" s="95"/>
      <c r="T6" s="95"/>
      <c r="U6" s="95"/>
    </row>
    <row r="7" spans="2:21">
      <c r="B7" s="22" t="s">
        <v>83</v>
      </c>
      <c r="C7" s="22"/>
      <c r="D7" s="95">
        <f t="shared" ref="D7:G7" si="6">D4*D8</f>
        <v>131.16</v>
      </c>
      <c r="E7" s="95">
        <f t="shared" si="6"/>
        <v>270.18959999999998</v>
      </c>
      <c r="F7" s="95">
        <f t="shared" si="6"/>
        <v>347.86911000000003</v>
      </c>
      <c r="G7" s="95">
        <f t="shared" si="6"/>
        <v>429.96621995999999</v>
      </c>
      <c r="I7" s="22" t="s">
        <v>83</v>
      </c>
      <c r="J7" s="22"/>
      <c r="K7" s="95">
        <f t="shared" ref="K7:N7" si="7">K4*K8</f>
        <v>131.16</v>
      </c>
      <c r="L7" s="95">
        <f t="shared" si="7"/>
        <v>275.43600000000004</v>
      </c>
      <c r="M7" s="95">
        <f t="shared" si="7"/>
        <v>397.66072500000001</v>
      </c>
      <c r="N7" s="95">
        <f t="shared" si="7"/>
        <v>531.41933250000011</v>
      </c>
      <c r="P7" s="22" t="s">
        <v>83</v>
      </c>
      <c r="Q7" s="22"/>
      <c r="R7" s="95">
        <f t="shared" ref="R7:U7" si="8">R4*R8</f>
        <v>129</v>
      </c>
      <c r="S7" s="95">
        <f t="shared" si="8"/>
        <v>241.55250000000001</v>
      </c>
      <c r="T7" s="95">
        <f t="shared" si="8"/>
        <v>443.0763</v>
      </c>
      <c r="U7" s="95">
        <f t="shared" si="8"/>
        <v>592.61455125000009</v>
      </c>
    </row>
    <row r="8" spans="2:21">
      <c r="B8" s="22" t="s">
        <v>34</v>
      </c>
      <c r="C8" s="22"/>
      <c r="D8" s="32">
        <v>0.02</v>
      </c>
      <c r="E8" s="32">
        <v>0.04</v>
      </c>
      <c r="F8" s="32">
        <v>0.05</v>
      </c>
      <c r="G8" s="32">
        <v>0.06</v>
      </c>
      <c r="I8" s="22" t="s">
        <v>34</v>
      </c>
      <c r="J8" s="22"/>
      <c r="K8" s="32">
        <v>0.02</v>
      </c>
      <c r="L8" s="32">
        <v>0.04</v>
      </c>
      <c r="M8" s="32">
        <v>5.5E-2</v>
      </c>
      <c r="N8" s="32">
        <v>7.0000000000000007E-2</v>
      </c>
      <c r="P8" s="22" t="s">
        <v>34</v>
      </c>
      <c r="Q8" s="22"/>
      <c r="R8" s="32">
        <v>0.02</v>
      </c>
      <c r="S8" s="32">
        <v>3.5000000000000003E-2</v>
      </c>
      <c r="T8" s="32">
        <v>0.06</v>
      </c>
      <c r="U8" s="32">
        <v>7.4999999999999997E-2</v>
      </c>
    </row>
    <row r="9" spans="2:21">
      <c r="B9" s="22" t="s">
        <v>39</v>
      </c>
      <c r="C9" s="22"/>
      <c r="D9" s="96">
        <v>0.21</v>
      </c>
      <c r="E9" s="96">
        <v>0.21</v>
      </c>
      <c r="F9" s="96">
        <v>0.21</v>
      </c>
      <c r="G9" s="96">
        <v>0.21</v>
      </c>
      <c r="I9" s="22" t="s">
        <v>39</v>
      </c>
      <c r="J9" s="22"/>
      <c r="K9" s="96">
        <v>0.21</v>
      </c>
      <c r="L9" s="96">
        <v>0.21</v>
      </c>
      <c r="M9" s="96">
        <v>0.21</v>
      </c>
      <c r="N9" s="96">
        <v>0.21</v>
      </c>
      <c r="P9" s="22" t="s">
        <v>39</v>
      </c>
      <c r="Q9" s="22"/>
      <c r="R9" s="96">
        <v>0.21</v>
      </c>
      <c r="S9" s="96">
        <v>0.21</v>
      </c>
      <c r="T9" s="96">
        <v>0.21</v>
      </c>
      <c r="U9" s="96">
        <v>0.21</v>
      </c>
    </row>
    <row r="10" spans="2:21">
      <c r="B10" s="22" t="s">
        <v>107</v>
      </c>
      <c r="C10" s="22"/>
      <c r="D10" s="95">
        <f t="shared" ref="D10:G10" si="9">D7*D9</f>
        <v>27.543599999999998</v>
      </c>
      <c r="E10" s="95">
        <f t="shared" si="9"/>
        <v>56.739815999999998</v>
      </c>
      <c r="F10" s="95">
        <f t="shared" si="9"/>
        <v>73.052513099999999</v>
      </c>
      <c r="G10" s="95">
        <f t="shared" si="9"/>
        <v>90.292906191599997</v>
      </c>
      <c r="I10" s="22" t="s">
        <v>107</v>
      </c>
      <c r="J10" s="22"/>
      <c r="K10" s="95">
        <f t="shared" ref="K10:N10" si="10">K7*K9</f>
        <v>27.543599999999998</v>
      </c>
      <c r="L10" s="95">
        <f t="shared" si="10"/>
        <v>57.841560000000008</v>
      </c>
      <c r="M10" s="95">
        <f t="shared" si="10"/>
        <v>83.508752250000001</v>
      </c>
      <c r="N10" s="95">
        <f t="shared" si="10"/>
        <v>111.59805982500002</v>
      </c>
      <c r="P10" s="22" t="s">
        <v>107</v>
      </c>
      <c r="Q10" s="22"/>
      <c r="R10" s="95">
        <f t="shared" ref="R10:U10" si="11">R7*R9</f>
        <v>27.09</v>
      </c>
      <c r="S10" s="95">
        <f t="shared" si="11"/>
        <v>50.726025</v>
      </c>
      <c r="T10" s="95">
        <f t="shared" si="11"/>
        <v>93.046022999999991</v>
      </c>
      <c r="U10" s="95">
        <f t="shared" si="11"/>
        <v>124.44905576250001</v>
      </c>
    </row>
    <row r="11" spans="2:21">
      <c r="B11" s="9" t="s">
        <v>50</v>
      </c>
      <c r="C11" s="22"/>
      <c r="D11" s="95">
        <f t="shared" ref="D11:G11" si="12">D12*D4</f>
        <v>295.11</v>
      </c>
      <c r="E11" s="95">
        <f t="shared" si="12"/>
        <v>303.9633</v>
      </c>
      <c r="F11" s="95">
        <f t="shared" si="12"/>
        <v>313.082199</v>
      </c>
      <c r="G11" s="95">
        <f t="shared" si="12"/>
        <v>322.47466496999999</v>
      </c>
      <c r="I11" s="9" t="s">
        <v>50</v>
      </c>
      <c r="J11" s="22"/>
      <c r="K11" s="95">
        <f t="shared" ref="K11:N11" si="13">K12*K4</f>
        <v>295.11</v>
      </c>
      <c r="L11" s="95">
        <f t="shared" si="13"/>
        <v>309.8655</v>
      </c>
      <c r="M11" s="95">
        <f t="shared" si="13"/>
        <v>325.35877500000004</v>
      </c>
      <c r="N11" s="95">
        <f t="shared" si="13"/>
        <v>341.62671375000002</v>
      </c>
      <c r="P11" s="9" t="s">
        <v>50</v>
      </c>
      <c r="Q11" s="22"/>
      <c r="R11" s="95">
        <f t="shared" ref="R11:U11" si="14">R12*R4</f>
        <v>290.25</v>
      </c>
      <c r="S11" s="95">
        <f t="shared" si="14"/>
        <v>310.5675</v>
      </c>
      <c r="T11" s="95">
        <f t="shared" si="14"/>
        <v>332.30722500000002</v>
      </c>
      <c r="U11" s="95">
        <f t="shared" si="14"/>
        <v>355.56873075000004</v>
      </c>
    </row>
    <row r="12" spans="2:21">
      <c r="B12" s="22" t="s">
        <v>108</v>
      </c>
      <c r="C12" s="22"/>
      <c r="D12" s="32">
        <v>4.4999999999999998E-2</v>
      </c>
      <c r="E12" s="32">
        <v>4.4999999999999998E-2</v>
      </c>
      <c r="F12" s="32">
        <v>4.4999999999999998E-2</v>
      </c>
      <c r="G12" s="32">
        <v>4.4999999999999998E-2</v>
      </c>
      <c r="I12" s="22" t="s">
        <v>108</v>
      </c>
      <c r="J12" s="22"/>
      <c r="K12" s="32">
        <v>4.4999999999999998E-2</v>
      </c>
      <c r="L12" s="32">
        <v>4.4999999999999998E-2</v>
      </c>
      <c r="M12" s="32">
        <v>4.4999999999999998E-2</v>
      </c>
      <c r="N12" s="32">
        <v>4.4999999999999998E-2</v>
      </c>
      <c r="P12" s="22" t="s">
        <v>108</v>
      </c>
      <c r="Q12" s="22"/>
      <c r="R12" s="32">
        <v>4.4999999999999998E-2</v>
      </c>
      <c r="S12" s="32">
        <v>4.4999999999999998E-2</v>
      </c>
      <c r="T12" s="32">
        <v>4.4999999999999998E-2</v>
      </c>
      <c r="U12" s="32">
        <v>4.4999999999999998E-2</v>
      </c>
    </row>
    <row r="13" spans="2:21">
      <c r="B13" s="22" t="s">
        <v>18</v>
      </c>
      <c r="C13" s="22"/>
      <c r="D13" s="97">
        <f t="shared" ref="D13:G13" si="15">D14*D4*-1</f>
        <v>-98.36999999999999</v>
      </c>
      <c r="E13" s="97">
        <f t="shared" si="15"/>
        <v>-101.32109999999999</v>
      </c>
      <c r="F13" s="97">
        <f t="shared" si="15"/>
        <v>-104.360733</v>
      </c>
      <c r="G13" s="97">
        <f t="shared" si="15"/>
        <v>-107.49155499</v>
      </c>
      <c r="I13" s="22" t="s">
        <v>18</v>
      </c>
      <c r="J13" s="22"/>
      <c r="K13" s="97">
        <f t="shared" ref="K13:N13" si="16">K14*K4*-1</f>
        <v>-98.36999999999999</v>
      </c>
      <c r="L13" s="97">
        <f t="shared" si="16"/>
        <v>-103.2885</v>
      </c>
      <c r="M13" s="97">
        <f t="shared" si="16"/>
        <v>-108.45292500000001</v>
      </c>
      <c r="N13" s="97">
        <f t="shared" si="16"/>
        <v>-113.87557125000001</v>
      </c>
      <c r="P13" s="22" t="s">
        <v>18</v>
      </c>
      <c r="Q13" s="22"/>
      <c r="R13" s="97">
        <f t="shared" ref="R13:U13" si="17">R14*R4*-1</f>
        <v>-96.75</v>
      </c>
      <c r="S13" s="97">
        <f t="shared" si="17"/>
        <v>-103.52249999999999</v>
      </c>
      <c r="T13" s="97">
        <f t="shared" si="17"/>
        <v>-110.769075</v>
      </c>
      <c r="U13" s="97">
        <f t="shared" si="17"/>
        <v>-118.52291025000001</v>
      </c>
    </row>
    <row r="14" spans="2:21">
      <c r="B14" s="22" t="s">
        <v>108</v>
      </c>
      <c r="C14" s="22"/>
      <c r="D14" s="32">
        <v>1.4999999999999999E-2</v>
      </c>
      <c r="E14" s="32">
        <v>1.4999999999999999E-2</v>
      </c>
      <c r="F14" s="32">
        <v>1.4999999999999999E-2</v>
      </c>
      <c r="G14" s="32">
        <v>1.4999999999999999E-2</v>
      </c>
      <c r="I14" s="22" t="s">
        <v>108</v>
      </c>
      <c r="J14" s="22"/>
      <c r="K14" s="32">
        <v>1.4999999999999999E-2</v>
      </c>
      <c r="L14" s="32">
        <v>1.4999999999999999E-2</v>
      </c>
      <c r="M14" s="32">
        <v>1.4999999999999999E-2</v>
      </c>
      <c r="N14" s="32">
        <v>1.4999999999999999E-2</v>
      </c>
      <c r="P14" s="22" t="s">
        <v>108</v>
      </c>
      <c r="Q14" s="22"/>
      <c r="R14" s="32">
        <v>1.4999999999999999E-2</v>
      </c>
      <c r="S14" s="32">
        <v>1.4999999999999999E-2</v>
      </c>
      <c r="T14" s="32">
        <v>1.4999999999999999E-2</v>
      </c>
      <c r="U14" s="32">
        <v>1.4999999999999999E-2</v>
      </c>
    </row>
    <row r="15" spans="2:21">
      <c r="B15" s="9" t="s">
        <v>109</v>
      </c>
      <c r="C15" s="9"/>
      <c r="D15" s="98">
        <f t="shared" ref="D15:G15" si="18">D7-D10+D11+D13</f>
        <v>300.35640000000001</v>
      </c>
      <c r="E15" s="98">
        <f t="shared" si="18"/>
        <v>416.09198400000002</v>
      </c>
      <c r="F15" s="98">
        <f t="shared" si="18"/>
        <v>483.53806290000011</v>
      </c>
      <c r="G15" s="98">
        <f t="shared" si="18"/>
        <v>554.65642374840013</v>
      </c>
      <c r="I15" s="9" t="s">
        <v>109</v>
      </c>
      <c r="J15" s="9"/>
      <c r="K15" s="98">
        <f t="shared" ref="K15:N15" si="19">K7-K10+K11+K13</f>
        <v>300.35640000000001</v>
      </c>
      <c r="L15" s="98">
        <f t="shared" si="19"/>
        <v>424.17143999999996</v>
      </c>
      <c r="M15" s="98">
        <f t="shared" si="19"/>
        <v>531.05782275000001</v>
      </c>
      <c r="N15" s="98">
        <f t="shared" si="19"/>
        <v>647.57241517500017</v>
      </c>
      <c r="P15" s="9" t="s">
        <v>109</v>
      </c>
      <c r="Q15" s="9"/>
      <c r="R15" s="98">
        <f t="shared" ref="R15:U15" si="20">R7-R10+R11+R13</f>
        <v>295.40999999999997</v>
      </c>
      <c r="S15" s="98">
        <f t="shared" si="20"/>
        <v>397.87147500000003</v>
      </c>
      <c r="T15" s="98">
        <f t="shared" si="20"/>
        <v>571.56842700000004</v>
      </c>
      <c r="U15" s="98">
        <f t="shared" si="20"/>
        <v>705.21131598750014</v>
      </c>
    </row>
    <row r="16" spans="2:21">
      <c r="B16" s="99" t="s">
        <v>60</v>
      </c>
      <c r="C16" s="99"/>
      <c r="D16" s="100">
        <f t="shared" ref="D16:G16" si="21">D15/D23</f>
        <v>1.2835743589743589</v>
      </c>
      <c r="E16" s="100">
        <f t="shared" si="21"/>
        <v>1.7263794871794873</v>
      </c>
      <c r="F16" s="100">
        <f t="shared" si="21"/>
        <v>1.9477820512820516</v>
      </c>
      <c r="G16" s="100">
        <f t="shared" si="21"/>
        <v>2.1691846153846157</v>
      </c>
      <c r="I16" s="99" t="s">
        <v>60</v>
      </c>
      <c r="J16" s="99"/>
      <c r="K16" s="100">
        <f t="shared" ref="K16:N16" si="22">K15/K23</f>
        <v>1.2835743589743589</v>
      </c>
      <c r="L16" s="100">
        <f t="shared" si="22"/>
        <v>1.7599014189693798</v>
      </c>
      <c r="M16" s="100">
        <f t="shared" si="22"/>
        <v>2.1392005608445657</v>
      </c>
      <c r="N16" s="100">
        <f t="shared" si="22"/>
        <v>2.5325662161306957</v>
      </c>
      <c r="P16" s="99" t="s">
        <v>60</v>
      </c>
      <c r="Q16" s="99"/>
      <c r="R16" s="100">
        <f t="shared" ref="R16:U16" si="23">R15/R23</f>
        <v>1.2624358974358973</v>
      </c>
      <c r="S16" s="100">
        <f t="shared" si="23"/>
        <v>1.6507819890465523</v>
      </c>
      <c r="T16" s="100">
        <f t="shared" si="23"/>
        <v>2.3023848764111747</v>
      </c>
      <c r="U16" s="100">
        <f t="shared" si="23"/>
        <v>2.7579839910573769</v>
      </c>
    </row>
    <row r="17" spans="1:26">
      <c r="B17" s="91" t="s">
        <v>110</v>
      </c>
      <c r="C17" s="91"/>
      <c r="D17" s="91"/>
      <c r="E17" s="91"/>
      <c r="F17" s="91"/>
      <c r="G17" s="101">
        <f>G18/G16</f>
        <v>10.174418604651159</v>
      </c>
      <c r="I17" s="91" t="s">
        <v>110</v>
      </c>
      <c r="J17" s="91"/>
      <c r="K17" s="91"/>
      <c r="L17" s="91"/>
      <c r="M17" s="91"/>
      <c r="N17" s="101">
        <f>N18/N16</f>
        <v>12.807737397420867</v>
      </c>
      <c r="P17" s="91" t="s">
        <v>110</v>
      </c>
      <c r="Q17" s="91"/>
      <c r="R17" s="91"/>
      <c r="S17" s="91"/>
      <c r="T17" s="91"/>
      <c r="U17" s="101">
        <f>U18/U16</f>
        <v>14.117647058823531</v>
      </c>
    </row>
    <row r="18" spans="1:26">
      <c r="B18" s="91" t="s">
        <v>111</v>
      </c>
      <c r="C18" s="91"/>
      <c r="D18" s="91"/>
      <c r="E18" s="91"/>
      <c r="F18" s="91"/>
      <c r="G18" s="100">
        <f>G34/G23</f>
        <v>22.070192307692302</v>
      </c>
      <c r="I18" s="91" t="s">
        <v>111</v>
      </c>
      <c r="J18" s="91"/>
      <c r="K18" s="91"/>
      <c r="L18" s="91"/>
      <c r="M18" s="91"/>
      <c r="N18" s="100">
        <f>N34/N23</f>
        <v>32.436443037781771</v>
      </c>
      <c r="P18" s="91" t="s">
        <v>111</v>
      </c>
      <c r="Q18" s="91"/>
      <c r="R18" s="91"/>
      <c r="S18" s="91"/>
      <c r="T18" s="91"/>
      <c r="U18" s="100">
        <f>U34/U23</f>
        <v>38.936244579633559</v>
      </c>
    </row>
    <row r="19" spans="1:26">
      <c r="B19" s="91" t="s">
        <v>112</v>
      </c>
      <c r="C19" s="92">
        <f ca="1">C2</f>
        <v>20.91</v>
      </c>
      <c r="D19" s="91"/>
      <c r="E19" s="91"/>
      <c r="F19" s="91"/>
      <c r="G19" s="91"/>
      <c r="I19" s="91" t="s">
        <v>112</v>
      </c>
      <c r="J19" s="92">
        <f ca="1">J2</f>
        <v>20.91</v>
      </c>
      <c r="K19" s="91"/>
      <c r="L19" s="91"/>
      <c r="M19" s="91"/>
      <c r="N19" s="91"/>
      <c r="P19" s="91" t="s">
        <v>112</v>
      </c>
      <c r="Q19" s="92">
        <f ca="1">Q2</f>
        <v>20.91</v>
      </c>
      <c r="R19" s="91"/>
      <c r="S19" s="91"/>
      <c r="T19" s="91"/>
      <c r="U19" s="91"/>
    </row>
    <row r="20" spans="1:26">
      <c r="B20" s="30" t="s">
        <v>113</v>
      </c>
      <c r="C20" s="100">
        <f>G18*((1/1.15)^G2)</f>
        <v>14.511509695203292</v>
      </c>
      <c r="D20" s="91"/>
      <c r="E20" s="91"/>
      <c r="F20" s="91"/>
      <c r="G20" s="91"/>
      <c r="I20" s="30" t="s">
        <v>113</v>
      </c>
      <c r="J20" s="100">
        <f>N18*((1/1.15)^N2)</f>
        <v>21.327487819697069</v>
      </c>
      <c r="K20" s="91"/>
      <c r="L20" s="91"/>
      <c r="M20" s="91"/>
      <c r="N20" s="91"/>
      <c r="P20" s="30" t="s">
        <v>113</v>
      </c>
      <c r="Q20" s="100">
        <f>U18*((1/1.15)^U2)</f>
        <v>25.601212841051083</v>
      </c>
      <c r="R20" s="91"/>
      <c r="S20" s="91"/>
      <c r="T20" s="91"/>
      <c r="U20" s="91"/>
    </row>
    <row r="21" spans="1:26">
      <c r="B21" s="91"/>
      <c r="C21" s="91"/>
      <c r="D21" s="91"/>
      <c r="E21" s="91"/>
      <c r="F21" s="91"/>
      <c r="G21" s="91"/>
      <c r="I21" s="91"/>
      <c r="J21" s="91"/>
      <c r="K21" s="91"/>
      <c r="L21" s="91"/>
      <c r="M21" s="91"/>
      <c r="N21" s="91"/>
      <c r="P21" s="91"/>
      <c r="Q21" s="91"/>
      <c r="R21" s="91"/>
      <c r="S21" s="91"/>
      <c r="T21" s="91"/>
      <c r="U21" s="91"/>
    </row>
    <row r="22" spans="1:26">
      <c r="B22" s="91" t="s">
        <v>67</v>
      </c>
      <c r="C22" s="102">
        <f ca="1">(G18/C19)^(1/G2)-1</f>
        <v>1.8163119042582387E-2</v>
      </c>
      <c r="D22" s="91"/>
      <c r="E22" s="91"/>
      <c r="F22" s="91"/>
      <c r="G22" s="91"/>
      <c r="I22" s="91" t="s">
        <v>67</v>
      </c>
      <c r="J22" s="102">
        <f ca="1">(N18/J19)^(1/N2)-1</f>
        <v>0.15760323100973239</v>
      </c>
      <c r="K22" s="91"/>
      <c r="L22" s="91"/>
      <c r="M22" s="91"/>
      <c r="N22" s="91"/>
      <c r="P22" s="91" t="s">
        <v>67</v>
      </c>
      <c r="Q22" s="102">
        <f ca="1">(U18/Q19)^(1/U2)-1</f>
        <v>0.23026879769103981</v>
      </c>
      <c r="R22" s="91"/>
      <c r="S22" s="91"/>
      <c r="T22" s="91"/>
      <c r="U22" s="91"/>
    </row>
    <row r="23" spans="1:26">
      <c r="B23" s="91" t="s">
        <v>114</v>
      </c>
      <c r="C23" s="91"/>
      <c r="D23" s="103">
        <v>234</v>
      </c>
      <c r="E23" s="103">
        <f t="shared" ref="E23:G23" si="24">D23*(1+E24)</f>
        <v>241.02</v>
      </c>
      <c r="F23" s="103">
        <f t="shared" si="24"/>
        <v>248.25060000000002</v>
      </c>
      <c r="G23" s="103">
        <f t="shared" si="24"/>
        <v>255.69811800000002</v>
      </c>
      <c r="I23" s="91" t="s">
        <v>114</v>
      </c>
      <c r="J23" s="91"/>
      <c r="K23" s="103">
        <v>234</v>
      </c>
      <c r="L23" s="103">
        <f t="shared" ref="L23:N23" si="25">K23*(1+L24)</f>
        <v>241.02</v>
      </c>
      <c r="M23" s="103">
        <f t="shared" si="25"/>
        <v>248.25060000000002</v>
      </c>
      <c r="N23" s="103">
        <f t="shared" si="25"/>
        <v>255.69811800000002</v>
      </c>
      <c r="P23" s="91" t="s">
        <v>114</v>
      </c>
      <c r="Q23" s="91"/>
      <c r="R23" s="103">
        <v>234</v>
      </c>
      <c r="S23" s="103">
        <f t="shared" ref="S23:U23" si="26">R23*(1+S24)</f>
        <v>241.02</v>
      </c>
      <c r="T23" s="103">
        <f t="shared" si="26"/>
        <v>248.25060000000002</v>
      </c>
      <c r="U23" s="103">
        <f t="shared" si="26"/>
        <v>255.69811800000002</v>
      </c>
    </row>
    <row r="24" spans="1:26">
      <c r="B24" s="91" t="s">
        <v>115</v>
      </c>
      <c r="C24" s="91"/>
      <c r="D24" s="91"/>
      <c r="E24" s="96">
        <v>0.03</v>
      </c>
      <c r="F24" s="96">
        <v>0.03</v>
      </c>
      <c r="G24" s="96">
        <v>0.03</v>
      </c>
      <c r="I24" s="91" t="s">
        <v>116</v>
      </c>
      <c r="J24" s="91"/>
      <c r="K24" s="91"/>
      <c r="L24" s="96">
        <v>0.03</v>
      </c>
      <c r="M24" s="96">
        <v>0.03</v>
      </c>
      <c r="N24" s="96">
        <v>0.03</v>
      </c>
      <c r="P24" s="91" t="s">
        <v>117</v>
      </c>
      <c r="Q24" s="91"/>
      <c r="R24" s="91"/>
      <c r="S24" s="96">
        <v>0.03</v>
      </c>
      <c r="T24" s="96">
        <v>0.03</v>
      </c>
      <c r="U24" s="96">
        <v>0.03</v>
      </c>
    </row>
    <row r="25" spans="1:26">
      <c r="B25" s="91"/>
      <c r="C25" s="91"/>
      <c r="D25" s="91"/>
      <c r="E25" s="91"/>
      <c r="F25" s="91"/>
      <c r="G25" s="91"/>
      <c r="I25" s="91"/>
      <c r="J25" s="91"/>
      <c r="K25" s="91"/>
      <c r="L25" s="91"/>
      <c r="M25" s="91"/>
      <c r="N25" s="91"/>
      <c r="P25" s="91"/>
      <c r="Q25" s="91"/>
      <c r="R25" s="91"/>
      <c r="S25" s="91"/>
      <c r="T25" s="91"/>
      <c r="U25" s="91"/>
    </row>
    <row r="26" spans="1:26">
      <c r="B26" s="91"/>
      <c r="C26" s="91"/>
      <c r="D26" s="91"/>
      <c r="E26" s="91"/>
      <c r="F26" s="91"/>
      <c r="G26" s="91"/>
      <c r="I26" s="91"/>
      <c r="J26" s="91"/>
      <c r="K26" s="91"/>
      <c r="L26" s="91"/>
      <c r="M26" s="91"/>
      <c r="N26" s="91"/>
      <c r="P26" s="91"/>
      <c r="Q26" s="91"/>
      <c r="R26" s="91"/>
      <c r="S26" s="91"/>
      <c r="T26" s="91"/>
      <c r="U26" s="91"/>
    </row>
    <row r="27" spans="1:26">
      <c r="B27" s="104"/>
      <c r="C27" s="91"/>
      <c r="D27" s="91"/>
      <c r="E27" s="91"/>
      <c r="F27" s="91"/>
      <c r="G27" s="91"/>
      <c r="I27" s="104"/>
      <c r="J27" s="91"/>
      <c r="K27" s="91"/>
      <c r="L27" s="91"/>
      <c r="M27" s="91"/>
      <c r="N27" s="91"/>
      <c r="P27" s="104"/>
      <c r="Q27" s="91"/>
      <c r="R27" s="91"/>
      <c r="S27" s="91"/>
      <c r="T27" s="91"/>
      <c r="U27" s="91"/>
    </row>
    <row r="28" spans="1:26">
      <c r="B28" s="91" t="s">
        <v>35</v>
      </c>
      <c r="C28" s="91"/>
      <c r="D28" s="91"/>
      <c r="E28" s="32">
        <f t="shared" ref="E28:G28" si="27">(E7-D7)/(E4-D4)</f>
        <v>0.70666666666666744</v>
      </c>
      <c r="F28" s="32">
        <f t="shared" si="27"/>
        <v>0.38333333333333314</v>
      </c>
      <c r="G28" s="32">
        <f t="shared" si="27"/>
        <v>0.3933333333333332</v>
      </c>
      <c r="I28" s="91" t="s">
        <v>35</v>
      </c>
      <c r="J28" s="91"/>
      <c r="K28" s="91"/>
      <c r="L28" s="32">
        <f t="shared" ref="L28:N28" si="28">(L7-K7)/(L4-K4)</f>
        <v>0.43999999999999939</v>
      </c>
      <c r="M28" s="32">
        <f t="shared" si="28"/>
        <v>0.35499999999999987</v>
      </c>
      <c r="N28" s="32">
        <f t="shared" si="28"/>
        <v>0.37000000000000011</v>
      </c>
      <c r="P28" s="91" t="s">
        <v>35</v>
      </c>
      <c r="Q28" s="91"/>
      <c r="R28" s="91"/>
      <c r="S28" s="32">
        <f t="shared" ref="S28:U28" si="29">(S7-R7)/(S4-R4)</f>
        <v>0.2492857142857143</v>
      </c>
      <c r="T28" s="32">
        <f t="shared" si="29"/>
        <v>0.4171428571428567</v>
      </c>
      <c r="U28" s="32">
        <f t="shared" si="29"/>
        <v>0.28928571428571404</v>
      </c>
    </row>
    <row r="29" spans="1:26">
      <c r="B29" s="4" t="s">
        <v>118</v>
      </c>
      <c r="D29" s="23">
        <f t="shared" ref="D29:G29" si="30">D7+D11</f>
        <v>426.27</v>
      </c>
      <c r="E29" s="23">
        <f t="shared" si="30"/>
        <v>574.15290000000005</v>
      </c>
      <c r="F29" s="23">
        <f t="shared" si="30"/>
        <v>660.95130900000004</v>
      </c>
      <c r="G29" s="23">
        <f t="shared" si="30"/>
        <v>752.44088493000004</v>
      </c>
      <c r="I29" s="4" t="s">
        <v>118</v>
      </c>
      <c r="K29" s="23">
        <f t="shared" ref="K29:N29" si="31">K7+K11</f>
        <v>426.27</v>
      </c>
      <c r="L29" s="23">
        <f t="shared" si="31"/>
        <v>585.30150000000003</v>
      </c>
      <c r="M29" s="23">
        <f t="shared" si="31"/>
        <v>723.01950000000011</v>
      </c>
      <c r="N29" s="23">
        <f t="shared" si="31"/>
        <v>873.04604625000013</v>
      </c>
      <c r="P29" s="4" t="s">
        <v>118</v>
      </c>
      <c r="R29" s="23">
        <f t="shared" ref="R29:U29" si="32">R7+R11</f>
        <v>419.25</v>
      </c>
      <c r="S29" s="23">
        <f t="shared" si="32"/>
        <v>552.12</v>
      </c>
      <c r="T29" s="23">
        <f t="shared" si="32"/>
        <v>775.38352499999996</v>
      </c>
      <c r="U29" s="23">
        <f t="shared" si="32"/>
        <v>948.18328200000019</v>
      </c>
    </row>
    <row r="30" spans="1:26">
      <c r="B30" s="4" t="s">
        <v>119</v>
      </c>
      <c r="D30" s="25">
        <f t="shared" ref="D30:G30" si="33">D29/D4</f>
        <v>6.5000000000000002E-2</v>
      </c>
      <c r="E30" s="25">
        <f t="shared" si="33"/>
        <v>8.5000000000000006E-2</v>
      </c>
      <c r="F30" s="25">
        <f t="shared" si="33"/>
        <v>9.5000000000000001E-2</v>
      </c>
      <c r="G30" s="25">
        <f t="shared" si="33"/>
        <v>0.10500000000000001</v>
      </c>
      <c r="I30" s="4" t="s">
        <v>119</v>
      </c>
      <c r="K30" s="25">
        <f t="shared" ref="K30:N30" si="34">K29/K4</f>
        <v>6.5000000000000002E-2</v>
      </c>
      <c r="L30" s="25">
        <f t="shared" si="34"/>
        <v>8.4999999999999992E-2</v>
      </c>
      <c r="M30" s="25">
        <f t="shared" si="34"/>
        <v>0.1</v>
      </c>
      <c r="N30" s="25">
        <f t="shared" si="34"/>
        <v>0.115</v>
      </c>
      <c r="P30" s="4" t="s">
        <v>119</v>
      </c>
      <c r="R30" s="25">
        <f t="shared" ref="R30:U30" si="35">R29/R4</f>
        <v>6.5000000000000002E-2</v>
      </c>
      <c r="S30" s="25">
        <f t="shared" si="35"/>
        <v>0.08</v>
      </c>
      <c r="T30" s="25">
        <f t="shared" si="35"/>
        <v>0.10499999999999998</v>
      </c>
      <c r="U30" s="25">
        <f t="shared" si="35"/>
        <v>0.12000000000000001</v>
      </c>
      <c r="V30" s="45"/>
    </row>
    <row r="31" spans="1:26">
      <c r="B31" s="4" t="s">
        <v>120</v>
      </c>
      <c r="G31" s="58">
        <v>10</v>
      </c>
      <c r="I31" s="4" t="s">
        <v>121</v>
      </c>
      <c r="N31" s="105">
        <v>12</v>
      </c>
      <c r="P31" s="4" t="s">
        <v>120</v>
      </c>
      <c r="U31" s="58">
        <v>13</v>
      </c>
    </row>
    <row r="32" spans="1:26">
      <c r="A32" s="23"/>
      <c r="B32" s="23" t="s">
        <v>63</v>
      </c>
      <c r="C32" s="23"/>
      <c r="D32" s="23"/>
      <c r="E32" s="23"/>
      <c r="F32" s="23"/>
      <c r="G32" s="23">
        <f>G29*G31</f>
        <v>7524.4088492999999</v>
      </c>
      <c r="H32" s="23"/>
      <c r="I32" s="23" t="s">
        <v>122</v>
      </c>
      <c r="J32" s="23"/>
      <c r="K32" s="23"/>
      <c r="L32" s="23"/>
      <c r="M32" s="23"/>
      <c r="N32" s="23">
        <f>N29*N31</f>
        <v>10476.552555000002</v>
      </c>
      <c r="O32" s="23"/>
      <c r="P32" s="23" t="s">
        <v>63</v>
      </c>
      <c r="Q32" s="23"/>
      <c r="R32" s="23"/>
      <c r="S32" s="23"/>
      <c r="T32" s="23"/>
      <c r="U32" s="23">
        <f>U31*U29</f>
        <v>12326.382666000003</v>
      </c>
      <c r="V32" s="23"/>
      <c r="W32" s="23"/>
      <c r="X32" s="23"/>
      <c r="Y32" s="23"/>
      <c r="Z32" s="23"/>
    </row>
    <row r="33" spans="1:26">
      <c r="A33" s="23"/>
      <c r="B33" s="23" t="s">
        <v>123</v>
      </c>
      <c r="C33" s="23"/>
      <c r="D33" s="23"/>
      <c r="E33" s="23"/>
      <c r="F33" s="23"/>
      <c r="G33" s="23">
        <f>G29*2.5</f>
        <v>1881.102212325</v>
      </c>
      <c r="H33" s="23"/>
      <c r="I33" s="23" t="s">
        <v>123</v>
      </c>
      <c r="J33" s="23"/>
      <c r="K33" s="23"/>
      <c r="L33" s="23"/>
      <c r="M33" s="23"/>
      <c r="N33" s="23">
        <f>N29*2.5</f>
        <v>2182.6151156250003</v>
      </c>
      <c r="O33" s="23"/>
      <c r="P33" s="23" t="s">
        <v>123</v>
      </c>
      <c r="Q33" s="23"/>
      <c r="R33" s="23"/>
      <c r="S33" s="23"/>
      <c r="T33" s="23"/>
      <c r="U33" s="23">
        <f>U29*2.5</f>
        <v>2370.4582050000004</v>
      </c>
      <c r="V33" s="23"/>
      <c r="W33" s="23"/>
      <c r="X33" s="23"/>
      <c r="Y33" s="23"/>
      <c r="Z33" s="23"/>
    </row>
    <row r="34" spans="1:26">
      <c r="A34" s="23"/>
      <c r="B34" s="23" t="s">
        <v>124</v>
      </c>
      <c r="C34" s="23"/>
      <c r="D34" s="23"/>
      <c r="E34" s="23"/>
      <c r="F34" s="23"/>
      <c r="G34" s="23">
        <f>G32-G33</f>
        <v>5643.3066369749995</v>
      </c>
      <c r="H34" s="23"/>
      <c r="I34" s="23" t="s">
        <v>124</v>
      </c>
      <c r="J34" s="23"/>
      <c r="K34" s="23"/>
      <c r="L34" s="23"/>
      <c r="M34" s="23"/>
      <c r="N34" s="23">
        <f>N32-N33</f>
        <v>8293.9374393750022</v>
      </c>
      <c r="O34" s="23"/>
      <c r="P34" s="23" t="s">
        <v>124</v>
      </c>
      <c r="Q34" s="23"/>
      <c r="R34" s="23"/>
      <c r="S34" s="23"/>
      <c r="T34" s="23"/>
      <c r="U34" s="23">
        <f>U32-U33</f>
        <v>9955.9244610000023</v>
      </c>
      <c r="V34" s="23"/>
      <c r="W34" s="23"/>
      <c r="X34" s="23"/>
      <c r="Y34" s="23"/>
      <c r="Z34" s="23"/>
    </row>
    <row r="35" spans="1:26">
      <c r="D35" s="25"/>
      <c r="E35" s="25"/>
      <c r="F35" s="25"/>
      <c r="G35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AK153"/>
  <sheetViews>
    <sheetView showGridLines="0" workbookViewId="0"/>
  </sheetViews>
  <sheetFormatPr defaultColWidth="12.6640625" defaultRowHeight="15.75" customHeight="1"/>
  <cols>
    <col min="1" max="1" width="18.33203125" customWidth="1"/>
    <col min="4" max="4" width="30.88671875" customWidth="1"/>
    <col min="5" max="5" width="15.109375" customWidth="1"/>
    <col min="10" max="10" width="20.88671875" customWidth="1"/>
    <col min="11" max="11" width="21.21875" customWidth="1"/>
    <col min="12" max="12" width="20" customWidth="1"/>
    <col min="13" max="13" width="18.88671875" customWidth="1"/>
  </cols>
  <sheetData>
    <row r="2" spans="1:37">
      <c r="A2" s="31" t="s">
        <v>81</v>
      </c>
      <c r="B2" s="31">
        <v>2007</v>
      </c>
      <c r="C2" s="31">
        <f t="shared" ref="C2:K2" si="0">B2+1</f>
        <v>2008</v>
      </c>
      <c r="D2" s="31">
        <f t="shared" si="0"/>
        <v>2009</v>
      </c>
      <c r="E2" s="31">
        <f t="shared" si="0"/>
        <v>2010</v>
      </c>
      <c r="F2" s="31">
        <f t="shared" si="0"/>
        <v>2011</v>
      </c>
      <c r="G2" s="31">
        <f t="shared" si="0"/>
        <v>2012</v>
      </c>
      <c r="H2" s="31">
        <f t="shared" si="0"/>
        <v>2013</v>
      </c>
      <c r="I2" s="31">
        <f t="shared" si="0"/>
        <v>2014</v>
      </c>
      <c r="J2" s="31">
        <f t="shared" si="0"/>
        <v>2015</v>
      </c>
      <c r="K2" s="31">
        <f t="shared" si="0"/>
        <v>2016</v>
      </c>
      <c r="L2" s="31">
        <v>2017</v>
      </c>
      <c r="M2" s="31">
        <f t="shared" ref="M2:N2" si="1">L2+1</f>
        <v>2018</v>
      </c>
      <c r="N2" s="31">
        <f t="shared" si="1"/>
        <v>2019</v>
      </c>
      <c r="O2" s="31"/>
      <c r="P2" s="31">
        <f>N2+1</f>
        <v>2020</v>
      </c>
      <c r="Q2" s="31">
        <f t="shared" ref="Q2:R2" si="2">P2+1</f>
        <v>2021</v>
      </c>
      <c r="R2" s="31">
        <f t="shared" si="2"/>
        <v>2022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>
      <c r="A3" s="4" t="s">
        <v>125</v>
      </c>
      <c r="L3" s="23">
        <f>'Base Case Model'!E4</f>
        <v>1601</v>
      </c>
      <c r="M3" s="23">
        <f>'Base Case Model'!F4</f>
        <v>1705</v>
      </c>
      <c r="N3" s="23">
        <f>'Base Case Model'!G4</f>
        <v>1777</v>
      </c>
      <c r="P3" s="23">
        <f>'Base Case Model'!H4</f>
        <v>1639</v>
      </c>
      <c r="Q3" s="23">
        <f>'Base Case Model'!I4</f>
        <v>2080</v>
      </c>
      <c r="R3" s="23">
        <f>'Base Case Model'!J4</f>
        <v>4575</v>
      </c>
    </row>
    <row r="4" spans="1:37">
      <c r="A4" s="4" t="s">
        <v>126</v>
      </c>
      <c r="L4" s="23">
        <f>'Base Case Model'!E18+'Base Case Model'!E32</f>
        <v>1444</v>
      </c>
      <c r="M4" s="23">
        <f>'Base Case Model'!F18+'Base Case Model'!F32</f>
        <v>2023</v>
      </c>
      <c r="N4" s="23">
        <f>'Base Case Model'!G18+'Base Case Model'!G32</f>
        <v>2315</v>
      </c>
      <c r="P4" s="23">
        <f>'Base Case Model'!H18+'Base Case Model'!H32</f>
        <v>1948</v>
      </c>
      <c r="Q4" s="23">
        <f>'Base Case Model'!I18+'Base Case Model'!I32</f>
        <v>1860</v>
      </c>
      <c r="R4" s="23">
        <f>'Base Case Model'!J18+'Base Case Model'!J32</f>
        <v>1983</v>
      </c>
    </row>
    <row r="5" spans="1:37">
      <c r="A5" s="4" t="s">
        <v>127</v>
      </c>
      <c r="B5" s="4">
        <v>1354</v>
      </c>
      <c r="C5" s="4">
        <v>1605</v>
      </c>
      <c r="D5" s="4">
        <v>1358</v>
      </c>
      <c r="E5" s="4">
        <v>1239</v>
      </c>
      <c r="F5" s="4">
        <v>1485</v>
      </c>
      <c r="G5" s="4">
        <v>1731</v>
      </c>
      <c r="H5" s="4">
        <v>2049</v>
      </c>
      <c r="I5" s="4">
        <v>2420</v>
      </c>
      <c r="J5" s="4">
        <v>2449</v>
      </c>
      <c r="K5" s="4">
        <v>2608</v>
      </c>
      <c r="L5" s="23">
        <f t="shared" ref="L5:N5" si="3">L3+L4</f>
        <v>3045</v>
      </c>
      <c r="M5" s="23">
        <f t="shared" si="3"/>
        <v>3728</v>
      </c>
      <c r="N5" s="23">
        <f t="shared" si="3"/>
        <v>4092</v>
      </c>
      <c r="P5" s="23">
        <f t="shared" ref="P5:R5" si="4">P3+P4</f>
        <v>3587</v>
      </c>
      <c r="Q5" s="23">
        <f t="shared" si="4"/>
        <v>3940</v>
      </c>
      <c r="R5" s="23">
        <f t="shared" si="4"/>
        <v>6558</v>
      </c>
    </row>
    <row r="7" spans="1:37">
      <c r="A7" s="106" t="s">
        <v>128</v>
      </c>
      <c r="B7" s="106" t="s">
        <v>81</v>
      </c>
      <c r="D7" s="4" t="s">
        <v>128</v>
      </c>
      <c r="E7" s="4" t="s">
        <v>125</v>
      </c>
    </row>
    <row r="8" spans="1:37">
      <c r="A8" s="106" t="s">
        <v>129</v>
      </c>
      <c r="B8" s="107">
        <v>0.32</v>
      </c>
      <c r="D8" s="106" t="s">
        <v>129</v>
      </c>
      <c r="E8" s="45">
        <v>0.25</v>
      </c>
    </row>
    <row r="9" spans="1:37">
      <c r="A9" s="106" t="s">
        <v>130</v>
      </c>
      <c r="B9" s="107">
        <v>0.1</v>
      </c>
      <c r="D9" s="106" t="s">
        <v>130</v>
      </c>
      <c r="E9" s="45">
        <v>0.15</v>
      </c>
    </row>
    <row r="10" spans="1:37">
      <c r="A10" s="106" t="s">
        <v>131</v>
      </c>
      <c r="B10" s="107">
        <v>0.06</v>
      </c>
      <c r="D10" s="106" t="s">
        <v>131</v>
      </c>
      <c r="E10" s="45">
        <v>0.11</v>
      </c>
    </row>
    <row r="11" spans="1:37">
      <c r="A11" s="106" t="s">
        <v>132</v>
      </c>
      <c r="B11" s="107">
        <v>7.0000000000000007E-2</v>
      </c>
      <c r="D11" s="106" t="s">
        <v>132</v>
      </c>
      <c r="E11" s="45">
        <v>0.1</v>
      </c>
    </row>
    <row r="12" spans="1:37">
      <c r="A12" s="106" t="s">
        <v>133</v>
      </c>
      <c r="B12" s="107">
        <v>0.05</v>
      </c>
      <c r="D12" s="106" t="s">
        <v>133</v>
      </c>
      <c r="E12" s="45">
        <v>0.06</v>
      </c>
    </row>
    <row r="13" spans="1:37">
      <c r="A13" s="106" t="s">
        <v>134</v>
      </c>
      <c r="B13" s="107">
        <v>7.0000000000000007E-2</v>
      </c>
      <c r="D13" s="106" t="s">
        <v>134</v>
      </c>
      <c r="E13" s="45">
        <v>0.09</v>
      </c>
    </row>
    <row r="14" spans="1:37">
      <c r="A14" s="106" t="s">
        <v>135</v>
      </c>
      <c r="B14" s="107">
        <v>0.1</v>
      </c>
      <c r="D14" s="106" t="s">
        <v>135</v>
      </c>
      <c r="E14" s="45">
        <v>7.0000000000000007E-2</v>
      </c>
    </row>
    <row r="15" spans="1:37">
      <c r="A15" s="106" t="s">
        <v>136</v>
      </c>
      <c r="B15" s="107">
        <v>0.15</v>
      </c>
      <c r="D15" s="106" t="s">
        <v>136</v>
      </c>
      <c r="E15" s="45">
        <v>0.12</v>
      </c>
    </row>
    <row r="16" spans="1:37">
      <c r="A16" s="106" t="s">
        <v>137</v>
      </c>
      <c r="B16" s="107">
        <v>0.08</v>
      </c>
      <c r="D16" s="106" t="s">
        <v>137</v>
      </c>
      <c r="E16" s="45">
        <v>0.05</v>
      </c>
    </row>
    <row r="22" spans="1:2">
      <c r="A22" s="108"/>
    </row>
    <row r="24" spans="1:2">
      <c r="A24" s="4" t="s">
        <v>138</v>
      </c>
      <c r="B24" s="45">
        <v>0.95</v>
      </c>
    </row>
    <row r="25" spans="1:2">
      <c r="A25" s="4" t="s">
        <v>139</v>
      </c>
      <c r="B25" s="45">
        <v>0.9</v>
      </c>
    </row>
    <row r="26" spans="1:2">
      <c r="A26" s="4" t="s">
        <v>140</v>
      </c>
      <c r="B26" s="45">
        <v>0.94</v>
      </c>
    </row>
    <row r="27" spans="1:2">
      <c r="A27" s="4" t="s">
        <v>141</v>
      </c>
      <c r="B27" s="45">
        <v>0.9</v>
      </c>
    </row>
    <row r="28" spans="1:2">
      <c r="A28" s="4" t="s">
        <v>142</v>
      </c>
      <c r="B28" s="45">
        <v>0.91</v>
      </c>
    </row>
    <row r="59" spans="1:3">
      <c r="B59" s="4" t="s">
        <v>143</v>
      </c>
      <c r="C59" s="4" t="s">
        <v>144</v>
      </c>
    </row>
    <row r="60" spans="1:3">
      <c r="A60" s="4">
        <v>2002</v>
      </c>
      <c r="B60" s="4">
        <v>2500</v>
      </c>
      <c r="C60" s="45"/>
    </row>
    <row r="61" spans="1:3">
      <c r="A61" s="4">
        <v>2004</v>
      </c>
      <c r="B61" s="4">
        <v>2800</v>
      </c>
      <c r="C61" s="45">
        <v>0.05</v>
      </c>
    </row>
    <row r="62" spans="1:3">
      <c r="A62" s="4">
        <v>2018</v>
      </c>
      <c r="B62" s="4">
        <v>2600</v>
      </c>
      <c r="C62" s="45">
        <v>0.1</v>
      </c>
    </row>
    <row r="63" spans="1:3">
      <c r="A63" s="4">
        <v>2019</v>
      </c>
      <c r="B63" s="4">
        <v>2400</v>
      </c>
      <c r="C63" s="45">
        <v>0.1</v>
      </c>
    </row>
    <row r="64" spans="1:3">
      <c r="A64" s="4">
        <v>2020</v>
      </c>
      <c r="B64" s="4">
        <v>2000</v>
      </c>
      <c r="C64" s="45">
        <v>0.09</v>
      </c>
    </row>
    <row r="65" spans="1:9">
      <c r="A65" s="4">
        <v>2021</v>
      </c>
      <c r="B65" s="4">
        <v>2200</v>
      </c>
      <c r="C65" s="45">
        <v>0.1</v>
      </c>
    </row>
    <row r="67" spans="1:9">
      <c r="D67" s="31" t="s">
        <v>69</v>
      </c>
      <c r="E67" s="31" t="s">
        <v>145</v>
      </c>
      <c r="F67" s="4" t="s">
        <v>146</v>
      </c>
      <c r="G67" s="4" t="s">
        <v>146</v>
      </c>
      <c r="H67" s="4" t="s">
        <v>147</v>
      </c>
      <c r="I67" s="4" t="s">
        <v>127</v>
      </c>
    </row>
    <row r="68" spans="1:9">
      <c r="A68" s="4" t="s">
        <v>148</v>
      </c>
      <c r="B68" s="45">
        <v>0.39</v>
      </c>
      <c r="D68" s="96">
        <v>0.41</v>
      </c>
      <c r="E68" s="96">
        <v>0.59</v>
      </c>
      <c r="F68" s="45">
        <f t="shared" ref="F68:F71" si="5">B68*D68</f>
        <v>0.15989999999999999</v>
      </c>
      <c r="G68" s="45">
        <f t="shared" ref="G68:G71" si="6">B68*E68</f>
        <v>0.2301</v>
      </c>
      <c r="H68" s="4" t="s">
        <v>145</v>
      </c>
      <c r="I68" s="45">
        <v>0.37</v>
      </c>
    </row>
    <row r="69" spans="1:9">
      <c r="A69" s="4" t="s">
        <v>149</v>
      </c>
      <c r="B69" s="45">
        <v>0.36</v>
      </c>
      <c r="D69" s="96">
        <v>0.56000000000000005</v>
      </c>
      <c r="E69" s="96">
        <v>0.44</v>
      </c>
      <c r="F69" s="45">
        <f t="shared" si="5"/>
        <v>0.2016</v>
      </c>
      <c r="G69" s="45">
        <f t="shared" si="6"/>
        <v>0.15839999999999999</v>
      </c>
      <c r="H69" s="4" t="s">
        <v>69</v>
      </c>
      <c r="I69" s="45">
        <v>0.63</v>
      </c>
    </row>
    <row r="70" spans="1:9">
      <c r="A70" s="4" t="s">
        <v>150</v>
      </c>
      <c r="B70" s="45">
        <v>0.1</v>
      </c>
      <c r="E70" s="45">
        <v>1</v>
      </c>
      <c r="F70" s="45">
        <f t="shared" si="5"/>
        <v>0</v>
      </c>
      <c r="G70" s="45">
        <f t="shared" si="6"/>
        <v>0.1</v>
      </c>
    </row>
    <row r="71" spans="1:9">
      <c r="A71" s="4" t="s">
        <v>151</v>
      </c>
      <c r="B71" s="45">
        <v>0.15</v>
      </c>
      <c r="D71" s="45">
        <v>0.08</v>
      </c>
      <c r="E71" s="45">
        <v>0.92</v>
      </c>
      <c r="F71" s="45">
        <f t="shared" si="5"/>
        <v>1.2E-2</v>
      </c>
      <c r="G71" s="45">
        <f t="shared" si="6"/>
        <v>0.13800000000000001</v>
      </c>
    </row>
    <row r="95" spans="2:16">
      <c r="C95" s="4" t="s">
        <v>152</v>
      </c>
      <c r="D95" s="106" t="s">
        <v>153</v>
      </c>
      <c r="E95" s="4" t="s">
        <v>154</v>
      </c>
      <c r="F95" s="4" t="s">
        <v>155</v>
      </c>
      <c r="G95" s="4" t="s">
        <v>156</v>
      </c>
      <c r="H95" s="4" t="s">
        <v>157</v>
      </c>
      <c r="J95" s="4" t="s">
        <v>141</v>
      </c>
      <c r="L95" s="4" t="s">
        <v>77</v>
      </c>
      <c r="N95" s="4" t="s">
        <v>158</v>
      </c>
      <c r="P95" s="4" t="str">
        <f>L95</f>
        <v xml:space="preserve">APG </v>
      </c>
    </row>
    <row r="96" spans="2:16">
      <c r="B96" s="4">
        <v>2021</v>
      </c>
      <c r="C96" s="4">
        <v>2200</v>
      </c>
      <c r="D96" s="4">
        <f>C96*9.6%</f>
        <v>211.20000000000002</v>
      </c>
      <c r="E96" s="4">
        <v>12</v>
      </c>
      <c r="F96" s="23">
        <f>'Base Case Model'!I48</f>
        <v>3940</v>
      </c>
      <c r="G96" s="23">
        <f>'Base Case Model'!I102</f>
        <v>328</v>
      </c>
      <c r="H96" s="4">
        <v>13.3</v>
      </c>
      <c r="J96" s="48">
        <f>C96/E96</f>
        <v>183.33333333333334</v>
      </c>
      <c r="K96" s="48"/>
      <c r="L96" s="48">
        <f>F96/H96</f>
        <v>296.24060150375936</v>
      </c>
      <c r="M96" s="48"/>
      <c r="N96" s="4">
        <f>D96/E96</f>
        <v>17.600000000000001</v>
      </c>
      <c r="P96" s="23">
        <f>G96/H96</f>
        <v>24.661654135338345</v>
      </c>
    </row>
    <row r="99" spans="11:11">
      <c r="K99" s="63"/>
    </row>
    <row r="122" spans="1:4">
      <c r="B122" s="4" t="s">
        <v>159</v>
      </c>
      <c r="C122" s="4" t="s">
        <v>81</v>
      </c>
      <c r="D122" s="4" t="s">
        <v>160</v>
      </c>
    </row>
    <row r="123" spans="1:4">
      <c r="A123" s="4">
        <v>2017</v>
      </c>
      <c r="B123" s="95">
        <v>63</v>
      </c>
      <c r="C123" s="4">
        <v>3046</v>
      </c>
      <c r="D123" s="63">
        <f t="shared" ref="D123:D133" si="7">B123/C123</f>
        <v>2.0682862770847011E-2</v>
      </c>
    </row>
    <row r="124" spans="1:4">
      <c r="A124" s="4">
        <f t="shared" ref="A124:A133" si="8">A123+1</f>
        <v>2018</v>
      </c>
      <c r="B124" s="95">
        <v>234</v>
      </c>
      <c r="C124" s="4">
        <v>3728</v>
      </c>
      <c r="D124" s="63">
        <f t="shared" si="7"/>
        <v>6.2768240343347645E-2</v>
      </c>
    </row>
    <row r="125" spans="1:4">
      <c r="A125" s="4">
        <f t="shared" si="8"/>
        <v>2019</v>
      </c>
      <c r="B125" s="95">
        <v>6</v>
      </c>
      <c r="C125" s="4">
        <v>4092</v>
      </c>
      <c r="D125" s="63">
        <f t="shared" si="7"/>
        <v>1.4662756598240469E-3</v>
      </c>
    </row>
    <row r="126" spans="1:4">
      <c r="A126" s="4">
        <f t="shared" si="8"/>
        <v>2020</v>
      </c>
      <c r="B126" s="95">
        <v>319</v>
      </c>
      <c r="C126" s="4">
        <v>3587</v>
      </c>
      <c r="D126" s="63">
        <f t="shared" si="7"/>
        <v>8.8932255366601612E-2</v>
      </c>
    </row>
    <row r="127" spans="1:4">
      <c r="A127" s="4">
        <f t="shared" si="8"/>
        <v>2021</v>
      </c>
      <c r="B127" s="95">
        <v>86</v>
      </c>
      <c r="C127" s="4">
        <v>3940</v>
      </c>
      <c r="D127" s="63">
        <f t="shared" si="7"/>
        <v>2.1827411167512689E-2</v>
      </c>
    </row>
    <row r="128" spans="1:4">
      <c r="A128" s="4">
        <f t="shared" si="8"/>
        <v>2022</v>
      </c>
      <c r="B128" s="95">
        <v>2839</v>
      </c>
      <c r="C128" s="4">
        <v>6558</v>
      </c>
      <c r="D128" s="63">
        <f t="shared" si="7"/>
        <v>0.43290637389448</v>
      </c>
    </row>
    <row r="129" spans="1:17">
      <c r="A129" s="4">
        <f t="shared" si="8"/>
        <v>2023</v>
      </c>
      <c r="B129" s="4">
        <v>137</v>
      </c>
      <c r="C129" s="4">
        <v>6842</v>
      </c>
      <c r="D129" s="63">
        <f t="shared" si="7"/>
        <v>2.0023384975153463E-2</v>
      </c>
    </row>
    <row r="130" spans="1:17">
      <c r="A130" s="4">
        <f t="shared" si="8"/>
        <v>2024</v>
      </c>
      <c r="B130" s="4">
        <v>246.8</v>
      </c>
      <c r="C130" s="4">
        <v>7288</v>
      </c>
      <c r="D130" s="63">
        <f t="shared" si="7"/>
        <v>3.3863885839736554E-2</v>
      </c>
    </row>
    <row r="131" spans="1:17">
      <c r="A131" s="4">
        <f t="shared" si="8"/>
        <v>2025</v>
      </c>
      <c r="B131" s="4">
        <v>309</v>
      </c>
      <c r="C131" s="4">
        <v>7677</v>
      </c>
      <c r="D131" s="63">
        <f t="shared" si="7"/>
        <v>4.0250097694411881E-2</v>
      </c>
    </row>
    <row r="132" spans="1:17">
      <c r="A132" s="4">
        <f t="shared" si="8"/>
        <v>2026</v>
      </c>
      <c r="B132" s="4">
        <v>464</v>
      </c>
      <c r="C132" s="4">
        <v>8086</v>
      </c>
      <c r="D132" s="63">
        <f t="shared" si="7"/>
        <v>5.7383131338115262E-2</v>
      </c>
    </row>
    <row r="133" spans="1:17">
      <c r="A133" s="4">
        <f t="shared" si="8"/>
        <v>2027</v>
      </c>
      <c r="B133" s="4">
        <v>524</v>
      </c>
      <c r="C133" s="4">
        <v>8497</v>
      </c>
      <c r="D133" s="63">
        <f t="shared" si="7"/>
        <v>6.1668824290926211E-2</v>
      </c>
    </row>
    <row r="142" spans="1:17">
      <c r="B142" s="4" t="s">
        <v>81</v>
      </c>
      <c r="C142" s="4" t="s">
        <v>161</v>
      </c>
      <c r="D142" s="106" t="s">
        <v>24</v>
      </c>
      <c r="E142" s="4" t="s">
        <v>162</v>
      </c>
    </row>
    <row r="143" spans="1:17">
      <c r="A143" s="4">
        <v>2017</v>
      </c>
      <c r="B143" s="4">
        <v>3046</v>
      </c>
      <c r="C143" s="63"/>
      <c r="D143" s="4">
        <v>190</v>
      </c>
      <c r="E143" s="109">
        <v>6.2399999999999997E-2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</row>
    <row r="144" spans="1:17">
      <c r="A144" s="4">
        <f t="shared" ref="A144:A153" si="9">A143+1</f>
        <v>2018</v>
      </c>
      <c r="B144" s="4">
        <v>3728</v>
      </c>
      <c r="C144" s="63"/>
      <c r="D144" s="4">
        <v>258</v>
      </c>
      <c r="E144" s="109">
        <v>7.1900000000000006E-2</v>
      </c>
    </row>
    <row r="145" spans="1:5">
      <c r="A145" s="4">
        <f t="shared" si="9"/>
        <v>2019</v>
      </c>
      <c r="B145" s="4">
        <v>4092</v>
      </c>
      <c r="C145" s="63"/>
      <c r="D145" s="4">
        <v>78</v>
      </c>
      <c r="E145" s="109">
        <v>1.9099999999999999E-2</v>
      </c>
    </row>
    <row r="146" spans="1:5">
      <c r="A146" s="4">
        <f t="shared" si="9"/>
        <v>2020</v>
      </c>
      <c r="B146" s="4">
        <v>3587</v>
      </c>
      <c r="C146" s="63"/>
      <c r="D146" s="4">
        <v>89</v>
      </c>
      <c r="E146" s="109">
        <v>2.4799999999999999E-2</v>
      </c>
    </row>
    <row r="147" spans="1:5">
      <c r="A147" s="4">
        <f t="shared" si="9"/>
        <v>2021</v>
      </c>
      <c r="B147" s="4">
        <v>3940</v>
      </c>
      <c r="C147" s="63"/>
      <c r="D147" s="4">
        <v>328</v>
      </c>
      <c r="E147" s="109">
        <v>8.3199999999999996E-2</v>
      </c>
    </row>
    <row r="148" spans="1:5">
      <c r="A148" s="4">
        <f t="shared" si="9"/>
        <v>2022</v>
      </c>
      <c r="B148" s="4">
        <v>6558</v>
      </c>
      <c r="C148" s="63"/>
      <c r="D148" s="4">
        <v>457</v>
      </c>
      <c r="E148" s="109">
        <v>6.9699999999999998E-2</v>
      </c>
    </row>
    <row r="149" spans="1:5">
      <c r="A149" s="4">
        <f t="shared" si="9"/>
        <v>2023</v>
      </c>
      <c r="B149" s="4">
        <v>6842</v>
      </c>
      <c r="C149" s="63">
        <v>9.0200000000000002E-2</v>
      </c>
      <c r="D149" s="4">
        <v>617</v>
      </c>
      <c r="E149" s="63">
        <v>9.0200000000000002E-2</v>
      </c>
    </row>
    <row r="150" spans="1:5">
      <c r="A150" s="4">
        <f t="shared" si="9"/>
        <v>2024</v>
      </c>
      <c r="B150" s="4">
        <v>7242</v>
      </c>
      <c r="C150" s="63">
        <v>0.10680000000000001</v>
      </c>
      <c r="D150" s="4">
        <v>773</v>
      </c>
    </row>
    <row r="151" spans="1:5">
      <c r="A151" s="4">
        <f t="shared" si="9"/>
        <v>2025</v>
      </c>
      <c r="B151" s="4">
        <v>7614</v>
      </c>
      <c r="C151" s="63">
        <v>0.12189999999999999</v>
      </c>
      <c r="D151" s="4">
        <v>928</v>
      </c>
    </row>
    <row r="152" spans="1:5">
      <c r="A152" s="4">
        <f t="shared" si="9"/>
        <v>2026</v>
      </c>
      <c r="B152" s="4">
        <v>8084</v>
      </c>
      <c r="C152" s="63">
        <v>0.12959999999999999</v>
      </c>
      <c r="D152" s="4">
        <v>1047</v>
      </c>
    </row>
    <row r="153" spans="1:5">
      <c r="A153" s="4">
        <f t="shared" si="9"/>
        <v>2027</v>
      </c>
      <c r="B153" s="4">
        <v>8497</v>
      </c>
      <c r="C153" s="63">
        <v>0.13689999999999999</v>
      </c>
      <c r="D153" s="4">
        <v>1163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D1035"/>
  <sheetViews>
    <sheetView showGridLines="0" workbookViewId="0"/>
  </sheetViews>
  <sheetFormatPr defaultColWidth="12.6640625" defaultRowHeight="15.75" customHeight="1"/>
  <cols>
    <col min="1" max="1" width="20.77734375" customWidth="1"/>
    <col min="2" max="2" width="24" customWidth="1"/>
    <col min="3" max="3" width="17.21875" customWidth="1"/>
    <col min="4" max="4" width="15.33203125" customWidth="1"/>
    <col min="5" max="5" width="13.88671875" customWidth="1"/>
    <col min="6" max="6" width="11.44140625" customWidth="1"/>
  </cols>
  <sheetData>
    <row r="1" spans="1:30" ht="13.2">
      <c r="K1" s="1"/>
    </row>
    <row r="2" spans="1:30" ht="13.2">
      <c r="B2" s="2" t="s">
        <v>0</v>
      </c>
      <c r="C2" s="3">
        <f ca="1">IFERROR(__xludf.DUMMYFUNCTION("GOOGLEFINANCE(B2)"),20.91)</f>
        <v>20.91</v>
      </c>
      <c r="D2" s="3"/>
      <c r="E2" s="3"/>
      <c r="F2" s="3"/>
      <c r="K2" s="1">
        <v>1</v>
      </c>
      <c r="L2" s="4">
        <f t="shared" ref="L2:O2" si="0">K2+1</f>
        <v>2</v>
      </c>
      <c r="M2" s="4">
        <f t="shared" si="0"/>
        <v>3</v>
      </c>
      <c r="N2" s="4">
        <f t="shared" si="0"/>
        <v>4</v>
      </c>
      <c r="O2" s="4">
        <f t="shared" si="0"/>
        <v>5</v>
      </c>
    </row>
    <row r="3" spans="1:30" ht="13.2">
      <c r="B3" s="5" t="s">
        <v>1</v>
      </c>
      <c r="C3" s="5">
        <v>2015</v>
      </c>
      <c r="D3" s="5">
        <v>2016</v>
      </c>
      <c r="E3" s="5">
        <v>2017</v>
      </c>
      <c r="F3" s="6">
        <v>2018</v>
      </c>
      <c r="G3" s="6">
        <f t="shared" ref="G3:O3" si="1">F3+1</f>
        <v>2019</v>
      </c>
      <c r="H3" s="6">
        <f t="shared" si="1"/>
        <v>2020</v>
      </c>
      <c r="I3" s="6">
        <f t="shared" si="1"/>
        <v>2021</v>
      </c>
      <c r="J3" s="6">
        <f t="shared" si="1"/>
        <v>2022</v>
      </c>
      <c r="K3" s="7">
        <f t="shared" si="1"/>
        <v>2023</v>
      </c>
      <c r="L3" s="8">
        <f t="shared" si="1"/>
        <v>2024</v>
      </c>
      <c r="M3" s="8">
        <f t="shared" si="1"/>
        <v>2025</v>
      </c>
      <c r="N3" s="8">
        <f t="shared" si="1"/>
        <v>2026</v>
      </c>
      <c r="O3" s="8">
        <f t="shared" si="1"/>
        <v>2027</v>
      </c>
    </row>
    <row r="4" spans="1:30" ht="13.2">
      <c r="A4" s="9"/>
      <c r="B4" s="9" t="s">
        <v>2</v>
      </c>
      <c r="C4" s="10"/>
      <c r="D4" s="10"/>
      <c r="E4" s="10">
        <v>1601</v>
      </c>
      <c r="F4" s="10">
        <v>1705</v>
      </c>
      <c r="G4" s="10">
        <v>1777</v>
      </c>
      <c r="H4" s="10">
        <v>1639</v>
      </c>
      <c r="I4" s="10">
        <v>2080</v>
      </c>
      <c r="J4" s="10">
        <v>4575</v>
      </c>
      <c r="K4" s="11">
        <f t="shared" ref="K4:O4" si="2">J4*(1+K5)</f>
        <v>4849.5</v>
      </c>
      <c r="L4" s="12">
        <f t="shared" si="2"/>
        <v>5140.47</v>
      </c>
      <c r="M4" s="12">
        <f t="shared" si="2"/>
        <v>5448.8982000000005</v>
      </c>
      <c r="N4" s="12">
        <f t="shared" si="2"/>
        <v>5775.8320920000006</v>
      </c>
      <c r="O4" s="12">
        <f t="shared" si="2"/>
        <v>6122.3820175200008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>
      <c r="A5" s="13"/>
      <c r="B5" s="13" t="s">
        <v>3</v>
      </c>
      <c r="C5" s="14"/>
      <c r="D5" s="14"/>
      <c r="E5" s="14"/>
      <c r="F5" s="15">
        <f t="shared" ref="F5:J5" si="3">F4/E4-1</f>
        <v>6.4959400374765774E-2</v>
      </c>
      <c r="G5" s="15">
        <f t="shared" si="3"/>
        <v>4.2228739002932558E-2</v>
      </c>
      <c r="H5" s="15">
        <f t="shared" si="3"/>
        <v>-7.7658975801913388E-2</v>
      </c>
      <c r="I5" s="15">
        <f t="shared" si="3"/>
        <v>0.26906650396583287</v>
      </c>
      <c r="J5" s="15">
        <f t="shared" si="3"/>
        <v>1.1995192307692308</v>
      </c>
      <c r="K5" s="16">
        <v>0.06</v>
      </c>
      <c r="L5" s="17">
        <v>0.06</v>
      </c>
      <c r="M5" s="17">
        <v>0.06</v>
      </c>
      <c r="N5" s="17">
        <v>0.06</v>
      </c>
      <c r="O5" s="17">
        <v>0.06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3.2">
      <c r="A6" s="9"/>
      <c r="B6" s="9" t="s">
        <v>4</v>
      </c>
      <c r="C6" s="10"/>
      <c r="D6" s="10"/>
      <c r="E6" s="10">
        <v>151</v>
      </c>
      <c r="F6" s="10">
        <v>178</v>
      </c>
      <c r="G6" s="10">
        <v>195</v>
      </c>
      <c r="H6" s="10">
        <v>8</v>
      </c>
      <c r="I6" s="10">
        <v>207</v>
      </c>
      <c r="J6" s="10">
        <v>256</v>
      </c>
      <c r="K6" s="18">
        <f t="shared" ref="K6:O6" si="4">K4*K7</f>
        <v>339.46500000000003</v>
      </c>
      <c r="L6" s="10">
        <f t="shared" si="4"/>
        <v>462.64229999999998</v>
      </c>
      <c r="M6" s="10">
        <f t="shared" si="4"/>
        <v>599.37880200000006</v>
      </c>
      <c r="N6" s="10">
        <f t="shared" si="4"/>
        <v>693.09985104000009</v>
      </c>
      <c r="O6" s="10">
        <f t="shared" si="4"/>
        <v>795.90966227760009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3.2">
      <c r="A7" s="19"/>
      <c r="B7" s="19" t="s">
        <v>5</v>
      </c>
      <c r="C7" s="15"/>
      <c r="D7" s="15"/>
      <c r="E7" s="15">
        <f t="shared" ref="E7:J7" si="5">E6/E4</f>
        <v>9.4316052467207992E-2</v>
      </c>
      <c r="F7" s="15">
        <f t="shared" si="5"/>
        <v>0.10439882697947214</v>
      </c>
      <c r="G7" s="15">
        <f t="shared" si="5"/>
        <v>0.10973550928531232</v>
      </c>
      <c r="H7" s="15">
        <f t="shared" si="5"/>
        <v>4.881025015253203E-3</v>
      </c>
      <c r="I7" s="15">
        <f t="shared" si="5"/>
        <v>9.9519230769230763E-2</v>
      </c>
      <c r="J7" s="15">
        <f t="shared" si="5"/>
        <v>5.5956284153005464E-2</v>
      </c>
      <c r="K7" s="16">
        <v>7.0000000000000007E-2</v>
      </c>
      <c r="L7" s="17">
        <v>0.09</v>
      </c>
      <c r="M7" s="17">
        <v>0.11</v>
      </c>
      <c r="N7" s="17">
        <v>0.12</v>
      </c>
      <c r="O7" s="17">
        <v>0.13</v>
      </c>
      <c r="P7" s="15"/>
      <c r="Q7" s="15"/>
      <c r="R7" s="2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3.2">
      <c r="A8" s="19"/>
      <c r="B8" s="19" t="s">
        <v>6</v>
      </c>
      <c r="C8" s="15"/>
      <c r="D8" s="15"/>
      <c r="E8" s="15"/>
      <c r="F8" s="15">
        <f t="shared" ref="F8:G8" si="6">(F6-E6)/(F4-E4)</f>
        <v>0.25961538461538464</v>
      </c>
      <c r="G8" s="15">
        <f t="shared" si="6"/>
        <v>0.2361111111111111</v>
      </c>
      <c r="H8" s="15">
        <f>(H6-G6)/(H4-G4)*-1</f>
        <v>-1.355072463768116</v>
      </c>
      <c r="I8" s="15">
        <f t="shared" ref="I8:J8" si="7">(I6-H6)/(I4-H4)</f>
        <v>0.4512471655328798</v>
      </c>
      <c r="J8" s="15">
        <f t="shared" si="7"/>
        <v>1.9639278557114229E-2</v>
      </c>
      <c r="K8" s="21">
        <f t="shared" ref="K8:O8" si="8">(K7-J7)/(K4-J4)</f>
        <v>5.1161077766828933E-5</v>
      </c>
      <c r="L8" s="15">
        <f t="shared" si="8"/>
        <v>6.8735608481973993E-5</v>
      </c>
      <c r="M8" s="15">
        <f t="shared" si="8"/>
        <v>6.4844913662239661E-5</v>
      </c>
      <c r="N8" s="15">
        <f t="shared" si="8"/>
        <v>3.0587223425584752E-5</v>
      </c>
      <c r="O8" s="15">
        <f t="shared" si="8"/>
        <v>2.8855871156212052E-5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3.2">
      <c r="A9" s="22"/>
      <c r="B9" s="22" t="s">
        <v>7</v>
      </c>
      <c r="C9" s="23"/>
      <c r="D9" s="23"/>
      <c r="E9" s="23">
        <v>12</v>
      </c>
      <c r="F9" s="23">
        <f>197-F6</f>
        <v>19</v>
      </c>
      <c r="G9" s="23">
        <v>33</v>
      </c>
      <c r="H9" s="23">
        <v>119</v>
      </c>
      <c r="I9" s="23">
        <v>74</v>
      </c>
      <c r="J9" s="23">
        <f>J75</f>
        <v>193</v>
      </c>
      <c r="K9" s="24">
        <f t="shared" ref="K9:O9" si="9">K10*K4</f>
        <v>193.98000000000002</v>
      </c>
      <c r="L9" s="23">
        <f t="shared" si="9"/>
        <v>205.61880000000002</v>
      </c>
      <c r="M9" s="23">
        <f t="shared" si="9"/>
        <v>217.95592800000003</v>
      </c>
      <c r="N9" s="23">
        <f t="shared" si="9"/>
        <v>231.03328368000004</v>
      </c>
      <c r="O9" s="23">
        <f t="shared" si="9"/>
        <v>244.89528070080004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3.2">
      <c r="A10" s="13"/>
      <c r="B10" s="13" t="s">
        <v>8</v>
      </c>
      <c r="C10" s="14"/>
      <c r="D10" s="14"/>
      <c r="E10" s="14">
        <f t="shared" ref="E10:J10" si="10">E9/E4</f>
        <v>7.4953154278575894E-3</v>
      </c>
      <c r="F10" s="14">
        <f t="shared" si="10"/>
        <v>1.1143695014662757E-2</v>
      </c>
      <c r="G10" s="14">
        <f t="shared" si="10"/>
        <v>1.8570624648283626E-2</v>
      </c>
      <c r="H10" s="14">
        <f t="shared" si="10"/>
        <v>7.2605247101891396E-2</v>
      </c>
      <c r="I10" s="14">
        <f t="shared" si="10"/>
        <v>3.5576923076923075E-2</v>
      </c>
      <c r="J10" s="25">
        <f t="shared" si="10"/>
        <v>4.2185792349726775E-2</v>
      </c>
      <c r="K10" s="26">
        <v>0.04</v>
      </c>
      <c r="L10" s="27">
        <v>0.04</v>
      </c>
      <c r="M10" s="27">
        <v>0.04</v>
      </c>
      <c r="N10" s="27">
        <v>0.04</v>
      </c>
      <c r="O10" s="27">
        <v>0.04</v>
      </c>
      <c r="P10" s="25"/>
      <c r="Q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3.2">
      <c r="A11" s="28"/>
      <c r="B11" s="22" t="s">
        <v>9</v>
      </c>
      <c r="C11" s="23"/>
      <c r="D11" s="23"/>
      <c r="E11" s="23">
        <v>6</v>
      </c>
      <c r="F11" s="23">
        <v>9</v>
      </c>
      <c r="G11" s="23">
        <v>5</v>
      </c>
      <c r="H11" s="23">
        <v>2</v>
      </c>
      <c r="I11" s="23">
        <v>6</v>
      </c>
      <c r="J11" s="23">
        <v>25</v>
      </c>
      <c r="K11" s="24">
        <f t="shared" ref="K11:O11" si="11">K12*K4</f>
        <v>24.247500000000002</v>
      </c>
      <c r="L11" s="23">
        <f t="shared" si="11"/>
        <v>25.702350000000003</v>
      </c>
      <c r="M11" s="23">
        <f t="shared" si="11"/>
        <v>27.244491000000004</v>
      </c>
      <c r="N11" s="23">
        <f t="shared" si="11"/>
        <v>28.879160460000005</v>
      </c>
      <c r="O11" s="23">
        <f t="shared" si="11"/>
        <v>30.611910087600005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3.2">
      <c r="A12" s="13"/>
      <c r="B12" s="13" t="s">
        <v>8</v>
      </c>
      <c r="C12" s="14"/>
      <c r="D12" s="14"/>
      <c r="E12" s="14">
        <f t="shared" ref="E12:J12" si="12">E11/E4</f>
        <v>3.7476577139287947E-3</v>
      </c>
      <c r="F12" s="14">
        <f t="shared" si="12"/>
        <v>5.2785923753665689E-3</v>
      </c>
      <c r="G12" s="14">
        <f t="shared" si="12"/>
        <v>2.8137310073157004E-3</v>
      </c>
      <c r="H12" s="14">
        <f t="shared" si="12"/>
        <v>1.2202562538133007E-3</v>
      </c>
      <c r="I12" s="14">
        <f t="shared" si="12"/>
        <v>2.8846153846153848E-3</v>
      </c>
      <c r="J12" s="14">
        <f t="shared" si="12"/>
        <v>5.4644808743169399E-3</v>
      </c>
      <c r="K12" s="26">
        <v>5.0000000000000001E-3</v>
      </c>
      <c r="L12" s="27">
        <v>5.0000000000000001E-3</v>
      </c>
      <c r="M12" s="27">
        <v>5.0000000000000001E-3</v>
      </c>
      <c r="N12" s="27">
        <v>5.0000000000000001E-3</v>
      </c>
      <c r="O12" s="27">
        <v>5.0000000000000001E-3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3.2">
      <c r="A13" s="30"/>
      <c r="B13" s="30" t="s">
        <v>10</v>
      </c>
      <c r="C13" s="31"/>
      <c r="D13" s="31"/>
      <c r="E13" s="10">
        <f t="shared" ref="E13:O13" si="13">((E6*(1-0.21)+E9-E11))</f>
        <v>125.29000000000002</v>
      </c>
      <c r="F13" s="10">
        <f t="shared" si="13"/>
        <v>150.62</v>
      </c>
      <c r="G13" s="10">
        <f t="shared" si="13"/>
        <v>182.05</v>
      </c>
      <c r="H13" s="10">
        <f t="shared" si="13"/>
        <v>123.32</v>
      </c>
      <c r="I13" s="10">
        <f t="shared" si="13"/>
        <v>231.53</v>
      </c>
      <c r="J13" s="10">
        <f t="shared" si="13"/>
        <v>370.24</v>
      </c>
      <c r="K13" s="18">
        <f t="shared" si="13"/>
        <v>437.90985000000006</v>
      </c>
      <c r="L13" s="10">
        <f t="shared" si="13"/>
        <v>545.40386699999999</v>
      </c>
      <c r="M13" s="10">
        <f t="shared" si="13"/>
        <v>664.22069058</v>
      </c>
      <c r="N13" s="10">
        <f t="shared" si="13"/>
        <v>749.70300554160019</v>
      </c>
      <c r="O13" s="10">
        <f t="shared" si="13"/>
        <v>843.05200381250415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3.2">
      <c r="A14" s="32"/>
      <c r="B14" s="32" t="s">
        <v>11</v>
      </c>
      <c r="C14" s="33"/>
      <c r="D14" s="33"/>
      <c r="E14" s="33"/>
      <c r="F14" s="25">
        <f t="shared" ref="F14:O14" si="14">F13/E13-1</f>
        <v>0.20217096336499307</v>
      </c>
      <c r="G14" s="25">
        <f t="shared" si="14"/>
        <v>0.20867082724737762</v>
      </c>
      <c r="H14" s="25">
        <f t="shared" si="14"/>
        <v>-0.32260368030760789</v>
      </c>
      <c r="I14" s="25">
        <f t="shared" si="14"/>
        <v>0.87747324035030827</v>
      </c>
      <c r="J14" s="25">
        <f t="shared" si="14"/>
        <v>0.59910162829870872</v>
      </c>
      <c r="K14" s="29">
        <f t="shared" si="14"/>
        <v>0.18277293107173742</v>
      </c>
      <c r="L14" s="25">
        <f t="shared" si="14"/>
        <v>0.24547065337762985</v>
      </c>
      <c r="M14" s="25">
        <f t="shared" si="14"/>
        <v>0.21785108388312913</v>
      </c>
      <c r="N14" s="25">
        <f t="shared" si="14"/>
        <v>0.12869565217391332</v>
      </c>
      <c r="O14" s="25">
        <f t="shared" si="14"/>
        <v>0.12451463790446837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3.2">
      <c r="A15" s="19"/>
      <c r="B15" s="19" t="s">
        <v>12</v>
      </c>
      <c r="C15" s="15"/>
      <c r="D15" s="15"/>
      <c r="E15" s="15">
        <f t="shared" ref="E15:O15" si="15">E13/E4</f>
        <v>7.8257339163023118E-2</v>
      </c>
      <c r="F15" s="15">
        <f t="shared" si="15"/>
        <v>8.8340175953079178E-2</v>
      </c>
      <c r="G15" s="15">
        <f t="shared" si="15"/>
        <v>0.10244794597636467</v>
      </c>
      <c r="H15" s="15">
        <f t="shared" si="15"/>
        <v>7.5241000610128117E-2</v>
      </c>
      <c r="I15" s="15">
        <f t="shared" si="15"/>
        <v>0.11131249999999999</v>
      </c>
      <c r="J15" s="15">
        <f t="shared" si="15"/>
        <v>8.0926775956284155E-2</v>
      </c>
      <c r="K15" s="21">
        <f t="shared" si="15"/>
        <v>9.0300000000000019E-2</v>
      </c>
      <c r="L15" s="15">
        <f t="shared" si="15"/>
        <v>0.1061</v>
      </c>
      <c r="M15" s="15">
        <f t="shared" si="15"/>
        <v>0.12189999999999998</v>
      </c>
      <c r="N15" s="15">
        <f t="shared" si="15"/>
        <v>0.12980000000000003</v>
      </c>
      <c r="O15" s="15">
        <f t="shared" si="15"/>
        <v>0.13770000000000002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3.2">
      <c r="A16" s="19"/>
      <c r="B16" s="19" t="s">
        <v>13</v>
      </c>
      <c r="C16" s="15"/>
      <c r="D16" s="15"/>
      <c r="E16" s="15"/>
      <c r="F16" s="15">
        <f t="shared" ref="F16:O16" si="16">(F13-E13)/(F4-E4)</f>
        <v>0.24355769230769214</v>
      </c>
      <c r="G16" s="15">
        <f t="shared" si="16"/>
        <v>0.43652777777777785</v>
      </c>
      <c r="H16" s="15">
        <f t="shared" si="16"/>
        <v>0.42557971014492768</v>
      </c>
      <c r="I16" s="15">
        <f t="shared" si="16"/>
        <v>0.24537414965986395</v>
      </c>
      <c r="J16" s="15">
        <f t="shared" si="16"/>
        <v>5.5595190380761529E-2</v>
      </c>
      <c r="K16" s="21">
        <f t="shared" si="16"/>
        <v>0.24652040072859766</v>
      </c>
      <c r="L16" s="15">
        <f t="shared" si="16"/>
        <v>0.36943333333333278</v>
      </c>
      <c r="M16" s="15">
        <f t="shared" si="16"/>
        <v>0.38523333333333298</v>
      </c>
      <c r="N16" s="15">
        <f t="shared" si="16"/>
        <v>0.26146666666666724</v>
      </c>
      <c r="O16" s="15">
        <f t="shared" si="16"/>
        <v>0.26936666666666637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3.2">
      <c r="A17" s="30"/>
      <c r="B17" s="30"/>
      <c r="C17" s="31"/>
      <c r="D17" s="31"/>
      <c r="E17" s="31"/>
      <c r="F17" s="31"/>
      <c r="K17" s="1"/>
    </row>
    <row r="18" spans="1:30" ht="13.2">
      <c r="A18" s="9"/>
      <c r="B18" s="9" t="s">
        <v>14</v>
      </c>
      <c r="C18" s="10"/>
      <c r="D18" s="10"/>
      <c r="E18" s="10">
        <v>1501</v>
      </c>
      <c r="F18" s="10">
        <v>2082</v>
      </c>
      <c r="G18" s="10">
        <v>2330</v>
      </c>
      <c r="H18" s="10">
        <v>1964</v>
      </c>
      <c r="I18" s="10">
        <v>1930</v>
      </c>
      <c r="J18" s="10">
        <v>2030</v>
      </c>
      <c r="K18" s="18">
        <f t="shared" ref="K18:O18" si="17">J18*(1+K19)</f>
        <v>2111.2000000000003</v>
      </c>
      <c r="L18" s="10">
        <f t="shared" si="17"/>
        <v>2195.6480000000001</v>
      </c>
      <c r="M18" s="10">
        <f t="shared" si="17"/>
        <v>2283.4739200000004</v>
      </c>
      <c r="N18" s="10">
        <f t="shared" si="17"/>
        <v>2374.8128768000006</v>
      </c>
      <c r="O18" s="10">
        <f t="shared" si="17"/>
        <v>2469.8053918720007</v>
      </c>
      <c r="P18" s="3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3.2">
      <c r="A19" s="13"/>
      <c r="B19" s="13" t="s">
        <v>3</v>
      </c>
      <c r="C19" s="14"/>
      <c r="D19" s="14"/>
      <c r="E19" s="14"/>
      <c r="F19" s="14">
        <f t="shared" ref="F19:J19" si="18">F18/E18-1</f>
        <v>0.38707528314457029</v>
      </c>
      <c r="G19" s="15">
        <f t="shared" si="18"/>
        <v>0.11911623439000962</v>
      </c>
      <c r="H19" s="15">
        <f t="shared" si="18"/>
        <v>-0.15708154506437766</v>
      </c>
      <c r="I19" s="15">
        <f t="shared" si="18"/>
        <v>-1.731160896130346E-2</v>
      </c>
      <c r="J19" s="15">
        <f t="shared" si="18"/>
        <v>5.1813471502590636E-2</v>
      </c>
      <c r="K19" s="16">
        <v>0.04</v>
      </c>
      <c r="L19" s="17">
        <v>0.04</v>
      </c>
      <c r="M19" s="17">
        <v>0.04</v>
      </c>
      <c r="N19" s="17">
        <v>0.04</v>
      </c>
      <c r="O19" s="17">
        <v>0.04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3.2">
      <c r="A20" s="9"/>
      <c r="B20" s="9" t="s">
        <v>4</v>
      </c>
      <c r="C20" s="10"/>
      <c r="D20" s="10"/>
      <c r="E20" s="10">
        <v>61</v>
      </c>
      <c r="F20" s="10">
        <v>70</v>
      </c>
      <c r="G20" s="10">
        <v>74</v>
      </c>
      <c r="H20" s="10">
        <v>-56</v>
      </c>
      <c r="I20" s="10">
        <v>78</v>
      </c>
      <c r="J20" s="10">
        <v>97</v>
      </c>
      <c r="K20" s="18">
        <f t="shared" ref="K20:O20" si="19">K21*K18</f>
        <v>126.67200000000001</v>
      </c>
      <c r="L20" s="10">
        <f t="shared" si="19"/>
        <v>153.69536000000002</v>
      </c>
      <c r="M20" s="10">
        <f t="shared" si="19"/>
        <v>182.67791360000004</v>
      </c>
      <c r="N20" s="10">
        <f t="shared" si="19"/>
        <v>189.98503014400006</v>
      </c>
      <c r="O20" s="10">
        <f t="shared" si="19"/>
        <v>197.58443134976005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3.2">
      <c r="A21" s="19"/>
      <c r="B21" s="19" t="s">
        <v>5</v>
      </c>
      <c r="C21" s="15"/>
      <c r="D21" s="15"/>
      <c r="E21" s="15">
        <f t="shared" ref="E21:J21" si="20">E20/E18</f>
        <v>4.0639573617588277E-2</v>
      </c>
      <c r="F21" s="15">
        <f t="shared" si="20"/>
        <v>3.3621517771373677E-2</v>
      </c>
      <c r="G21" s="15">
        <f t="shared" si="20"/>
        <v>3.1759656652360517E-2</v>
      </c>
      <c r="H21" s="15">
        <f t="shared" si="20"/>
        <v>-2.8513238289205704E-2</v>
      </c>
      <c r="I21" s="15">
        <f t="shared" si="20"/>
        <v>4.0414507772020727E-2</v>
      </c>
      <c r="J21" s="15">
        <f t="shared" si="20"/>
        <v>4.7783251231527095E-2</v>
      </c>
      <c r="K21" s="16">
        <v>0.06</v>
      </c>
      <c r="L21" s="17">
        <v>7.0000000000000007E-2</v>
      </c>
      <c r="M21" s="17">
        <v>0.08</v>
      </c>
      <c r="N21" s="17">
        <v>0.08</v>
      </c>
      <c r="O21" s="17">
        <v>0.08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3.2">
      <c r="A22" s="19"/>
      <c r="B22" s="19" t="s">
        <v>6</v>
      </c>
      <c r="C22" s="15"/>
      <c r="D22" s="15"/>
      <c r="E22" s="15"/>
      <c r="F22" s="15">
        <f t="shared" ref="F22:G22" si="21">(F20-E20)/(F18-E18)</f>
        <v>1.549053356282272E-2</v>
      </c>
      <c r="G22" s="15">
        <f t="shared" si="21"/>
        <v>1.6129032258064516E-2</v>
      </c>
      <c r="H22" s="15">
        <f>(H20-G20)/(H18-G18)*-1</f>
        <v>-0.3551912568306011</v>
      </c>
      <c r="I22" s="15">
        <f t="shared" ref="I22:O22" si="22">(I20-H20)/(I18-H18)</f>
        <v>-3.9411764705882355</v>
      </c>
      <c r="J22" s="15">
        <f t="shared" si="22"/>
        <v>0.19</v>
      </c>
      <c r="K22" s="21">
        <f t="shared" si="22"/>
        <v>0.36541871921182156</v>
      </c>
      <c r="L22" s="15">
        <f t="shared" si="22"/>
        <v>0.32000000000000062</v>
      </c>
      <c r="M22" s="15">
        <f t="shared" si="22"/>
        <v>0.32999999999999935</v>
      </c>
      <c r="N22" s="15">
        <f t="shared" si="22"/>
        <v>8.0000000000000057E-2</v>
      </c>
      <c r="O22" s="15">
        <f t="shared" si="22"/>
        <v>7.9999999999999835E-2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3.2">
      <c r="A23" s="22"/>
      <c r="B23" s="22" t="s">
        <v>7</v>
      </c>
      <c r="C23" s="23"/>
      <c r="D23" s="23"/>
      <c r="E23" s="23">
        <v>55</v>
      </c>
      <c r="F23" s="23">
        <v>87</v>
      </c>
      <c r="G23" s="23">
        <v>104</v>
      </c>
      <c r="H23" s="23">
        <v>136</v>
      </c>
      <c r="I23" s="23">
        <v>118</v>
      </c>
      <c r="J23" s="23">
        <f>J77</f>
        <v>102</v>
      </c>
      <c r="K23" s="24">
        <f t="shared" ref="K23:O23" si="23">K24*K18</f>
        <v>105.56000000000002</v>
      </c>
      <c r="L23" s="23">
        <f t="shared" si="23"/>
        <v>109.78240000000001</v>
      </c>
      <c r="M23" s="23">
        <f t="shared" si="23"/>
        <v>114.17369600000002</v>
      </c>
      <c r="N23" s="23">
        <f t="shared" si="23"/>
        <v>118.74064384000003</v>
      </c>
      <c r="O23" s="23">
        <f t="shared" si="23"/>
        <v>123.49026959360003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3.2">
      <c r="A24" s="13"/>
      <c r="B24" s="13" t="s">
        <v>8</v>
      </c>
      <c r="C24" s="14"/>
      <c r="D24" s="14"/>
      <c r="E24" s="14">
        <f t="shared" ref="E24:J24" si="24">E23/E18</f>
        <v>3.6642238507661559E-2</v>
      </c>
      <c r="F24" s="14">
        <f t="shared" si="24"/>
        <v>4.1786743515850142E-2</v>
      </c>
      <c r="G24" s="14">
        <f t="shared" si="24"/>
        <v>4.4635193133047209E-2</v>
      </c>
      <c r="H24" s="14">
        <f t="shared" si="24"/>
        <v>6.9246435845213852E-2</v>
      </c>
      <c r="I24" s="14">
        <f t="shared" si="24"/>
        <v>6.1139896373056994E-2</v>
      </c>
      <c r="J24" s="14">
        <f t="shared" si="24"/>
        <v>5.024630541871921E-2</v>
      </c>
      <c r="K24" s="35">
        <v>0.05</v>
      </c>
      <c r="L24" s="14">
        <v>0.05</v>
      </c>
      <c r="M24" s="14">
        <v>0.05</v>
      </c>
      <c r="N24" s="14">
        <v>0.05</v>
      </c>
      <c r="O24" s="14">
        <v>0.05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3.2">
      <c r="A25" s="22"/>
      <c r="B25" s="22" t="s">
        <v>15</v>
      </c>
      <c r="C25" s="23"/>
      <c r="D25" s="23"/>
      <c r="E25" s="23">
        <v>26</v>
      </c>
      <c r="F25" s="23">
        <v>64</v>
      </c>
      <c r="G25" s="23">
        <v>58</v>
      </c>
      <c r="H25" s="23">
        <v>34</v>
      </c>
      <c r="I25" s="23">
        <v>48</v>
      </c>
      <c r="J25" s="23">
        <v>49</v>
      </c>
      <c r="K25" s="24">
        <f t="shared" ref="K25:O25" si="25">K26*K18</f>
        <v>52.780000000000008</v>
      </c>
      <c r="L25" s="23">
        <f t="shared" si="25"/>
        <v>54.891200000000005</v>
      </c>
      <c r="M25" s="23">
        <f t="shared" si="25"/>
        <v>57.08684800000001</v>
      </c>
      <c r="N25" s="23">
        <f t="shared" si="25"/>
        <v>59.370321920000016</v>
      </c>
      <c r="O25" s="23">
        <f t="shared" si="25"/>
        <v>61.745134796800016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3.2">
      <c r="A26" s="13"/>
      <c r="B26" s="13" t="s">
        <v>8</v>
      </c>
      <c r="C26" s="14"/>
      <c r="D26" s="14"/>
      <c r="E26" s="14">
        <f t="shared" ref="E26:J26" si="26">E25/E18</f>
        <v>1.7321785476349102E-2</v>
      </c>
      <c r="F26" s="14">
        <f t="shared" si="26"/>
        <v>3.073967339097022E-2</v>
      </c>
      <c r="G26" s="14">
        <f t="shared" si="26"/>
        <v>2.4892703862660945E-2</v>
      </c>
      <c r="H26" s="14">
        <f t="shared" si="26"/>
        <v>1.7311608961303463E-2</v>
      </c>
      <c r="I26" s="14">
        <f t="shared" si="26"/>
        <v>2.4870466321243522E-2</v>
      </c>
      <c r="J26" s="14">
        <f t="shared" si="26"/>
        <v>2.4137931034482758E-2</v>
      </c>
      <c r="K26" s="36">
        <v>2.5000000000000001E-2</v>
      </c>
      <c r="L26" s="37">
        <v>2.5000000000000001E-2</v>
      </c>
      <c r="M26" s="37">
        <v>2.5000000000000001E-2</v>
      </c>
      <c r="N26" s="37">
        <v>2.5000000000000001E-2</v>
      </c>
      <c r="O26" s="37">
        <v>2.5000000000000001E-2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3.2">
      <c r="A27" s="30"/>
      <c r="B27" s="30" t="s">
        <v>16</v>
      </c>
      <c r="C27" s="31"/>
      <c r="D27" s="31"/>
      <c r="E27" s="10">
        <f t="shared" ref="E27:O27" si="27">(E20*(1-0.21))+E23-E25</f>
        <v>77.19</v>
      </c>
      <c r="F27" s="10">
        <f t="shared" si="27"/>
        <v>78.300000000000011</v>
      </c>
      <c r="G27" s="10">
        <f t="shared" si="27"/>
        <v>104.46000000000001</v>
      </c>
      <c r="H27" s="10">
        <f t="shared" si="27"/>
        <v>57.759999999999991</v>
      </c>
      <c r="I27" s="10">
        <f t="shared" si="27"/>
        <v>131.62</v>
      </c>
      <c r="J27" s="10">
        <f t="shared" si="27"/>
        <v>129.63</v>
      </c>
      <c r="K27" s="18">
        <f t="shared" si="27"/>
        <v>152.85088000000005</v>
      </c>
      <c r="L27" s="10">
        <f t="shared" si="27"/>
        <v>176.31053440000002</v>
      </c>
      <c r="M27" s="10">
        <f t="shared" si="27"/>
        <v>201.40239974400006</v>
      </c>
      <c r="N27" s="10">
        <f t="shared" si="27"/>
        <v>209.45849573376009</v>
      </c>
      <c r="O27" s="10">
        <f t="shared" si="27"/>
        <v>217.83683556311047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3.2">
      <c r="A28" s="32"/>
      <c r="B28" s="32" t="s">
        <v>11</v>
      </c>
      <c r="C28" s="33"/>
      <c r="D28" s="33"/>
      <c r="E28" s="25"/>
      <c r="F28" s="25">
        <f t="shared" ref="F28:O28" si="28">F27/E27-1</f>
        <v>1.438010104935894E-2</v>
      </c>
      <c r="G28" s="25">
        <f t="shared" si="28"/>
        <v>0.33409961685823752</v>
      </c>
      <c r="H28" s="25">
        <f t="shared" si="28"/>
        <v>-0.44706107600995604</v>
      </c>
      <c r="I28" s="25">
        <f t="shared" si="28"/>
        <v>1.2787396121883661</v>
      </c>
      <c r="J28" s="25">
        <f t="shared" si="28"/>
        <v>-1.5119282783771504E-2</v>
      </c>
      <c r="K28" s="29">
        <f t="shared" si="28"/>
        <v>0.17913199105145461</v>
      </c>
      <c r="L28" s="25">
        <f t="shared" si="28"/>
        <v>0.15348066298342511</v>
      </c>
      <c r="M28" s="25">
        <f t="shared" si="28"/>
        <v>0.14231631382316334</v>
      </c>
      <c r="N28" s="25">
        <f t="shared" si="28"/>
        <v>4.0000000000000036E-2</v>
      </c>
      <c r="O28" s="25">
        <f t="shared" si="28"/>
        <v>3.9999999999999813E-2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3.2">
      <c r="A29" s="19"/>
      <c r="B29" s="19" t="s">
        <v>12</v>
      </c>
      <c r="C29" s="15"/>
      <c r="D29" s="15"/>
      <c r="E29" s="15">
        <f t="shared" ref="E29:O29" si="29">E27/E18</f>
        <v>5.1425716189207195E-2</v>
      </c>
      <c r="F29" s="15">
        <f t="shared" si="29"/>
        <v>3.7608069164265137E-2</v>
      </c>
      <c r="G29" s="15">
        <f t="shared" si="29"/>
        <v>4.483261802575108E-2</v>
      </c>
      <c r="H29" s="15">
        <f t="shared" si="29"/>
        <v>2.9409368635437878E-2</v>
      </c>
      <c r="I29" s="15">
        <f t="shared" si="29"/>
        <v>6.8196891191709852E-2</v>
      </c>
      <c r="J29" s="15">
        <f t="shared" si="29"/>
        <v>6.3857142857142848E-2</v>
      </c>
      <c r="K29" s="21">
        <f t="shared" si="29"/>
        <v>7.2400000000000006E-2</v>
      </c>
      <c r="L29" s="15">
        <f t="shared" si="29"/>
        <v>8.030000000000001E-2</v>
      </c>
      <c r="M29" s="15">
        <f t="shared" si="29"/>
        <v>8.8200000000000014E-2</v>
      </c>
      <c r="N29" s="15">
        <f t="shared" si="29"/>
        <v>8.8200000000000014E-2</v>
      </c>
      <c r="O29" s="15">
        <f t="shared" si="29"/>
        <v>8.8200000000000001E-2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2">
      <c r="A30" s="19"/>
      <c r="B30" s="19" t="s">
        <v>13</v>
      </c>
      <c r="C30" s="15"/>
      <c r="D30" s="15"/>
      <c r="E30" s="15"/>
      <c r="F30" s="15">
        <f t="shared" ref="F30:O30" si="30">(F27-E27)/(F18-E18)</f>
        <v>1.9104991394148256E-3</v>
      </c>
      <c r="G30" s="15">
        <f t="shared" si="30"/>
        <v>0.10548387096774192</v>
      </c>
      <c r="H30" s="15">
        <f t="shared" si="30"/>
        <v>0.12759562841530059</v>
      </c>
      <c r="I30" s="15">
        <f t="shared" si="30"/>
        <v>-2.172352941176471</v>
      </c>
      <c r="J30" s="15">
        <f t="shared" si="30"/>
        <v>-1.9900000000000091E-2</v>
      </c>
      <c r="K30" s="21">
        <f t="shared" si="30"/>
        <v>0.28597142857142821</v>
      </c>
      <c r="L30" s="15">
        <f t="shared" si="30"/>
        <v>0.27780000000000016</v>
      </c>
      <c r="M30" s="15">
        <f t="shared" si="30"/>
        <v>0.28569999999999973</v>
      </c>
      <c r="N30" s="15">
        <f t="shared" si="30"/>
        <v>8.8200000000000042E-2</v>
      </c>
      <c r="O30" s="15">
        <f t="shared" si="30"/>
        <v>8.8199999999999737E-2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3.2">
      <c r="K31" s="1"/>
    </row>
    <row r="32" spans="1:30" ht="13.2">
      <c r="A32" s="10"/>
      <c r="B32" s="10" t="s">
        <v>17</v>
      </c>
      <c r="C32" s="10"/>
      <c r="D32" s="10"/>
      <c r="E32" s="10">
        <v>-57</v>
      </c>
      <c r="F32" s="10">
        <v>-59</v>
      </c>
      <c r="G32" s="10">
        <v>-15</v>
      </c>
      <c r="H32" s="10">
        <v>-16</v>
      </c>
      <c r="I32" s="10">
        <v>-70</v>
      </c>
      <c r="J32" s="10">
        <v>-47</v>
      </c>
      <c r="K32" s="38">
        <v>-50</v>
      </c>
      <c r="L32" s="39">
        <v>-50</v>
      </c>
      <c r="M32" s="39">
        <v>-50</v>
      </c>
      <c r="N32" s="39">
        <v>-50</v>
      </c>
      <c r="O32" s="39">
        <v>-50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3.2">
      <c r="A33" s="31"/>
      <c r="B33" s="9" t="s">
        <v>4</v>
      </c>
      <c r="C33" s="31"/>
      <c r="D33" s="31"/>
      <c r="E33" s="10">
        <v>-89</v>
      </c>
      <c r="F33" s="10">
        <v>-86</v>
      </c>
      <c r="G33" s="10">
        <v>-328</v>
      </c>
      <c r="H33" s="10">
        <v>-118</v>
      </c>
      <c r="I33" s="10">
        <v>-149</v>
      </c>
      <c r="J33" s="10">
        <v>-191</v>
      </c>
      <c r="K33" s="38">
        <v>-120</v>
      </c>
      <c r="L33" s="39">
        <v>-125</v>
      </c>
      <c r="M33" s="39">
        <v>-130</v>
      </c>
      <c r="N33" s="39">
        <v>-135</v>
      </c>
      <c r="O33" s="39">
        <v>-145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3.2">
      <c r="A34" s="23"/>
      <c r="B34" s="22" t="s">
        <v>7</v>
      </c>
      <c r="C34" s="23"/>
      <c r="D34" s="23"/>
      <c r="E34" s="23">
        <v>2</v>
      </c>
      <c r="F34" s="23">
        <v>4</v>
      </c>
      <c r="G34" s="23">
        <v>10</v>
      </c>
      <c r="H34" s="23">
        <v>8</v>
      </c>
      <c r="I34" s="23">
        <v>10</v>
      </c>
      <c r="J34" s="23">
        <v>9</v>
      </c>
      <c r="K34" s="40">
        <v>10</v>
      </c>
      <c r="L34" s="41">
        <v>10</v>
      </c>
      <c r="M34" s="41">
        <v>10</v>
      </c>
      <c r="N34" s="41">
        <v>10</v>
      </c>
      <c r="O34" s="41">
        <v>10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3.2">
      <c r="A35" s="25"/>
      <c r="B35" s="13" t="s">
        <v>8</v>
      </c>
      <c r="C35" s="25"/>
      <c r="D35" s="25"/>
      <c r="E35" s="25">
        <f t="shared" ref="E35:O35" si="31">E34/E32</f>
        <v>-3.5087719298245612E-2</v>
      </c>
      <c r="F35" s="25">
        <f t="shared" si="31"/>
        <v>-6.7796610169491525E-2</v>
      </c>
      <c r="G35" s="25">
        <f t="shared" si="31"/>
        <v>-0.66666666666666663</v>
      </c>
      <c r="H35" s="25">
        <f t="shared" si="31"/>
        <v>-0.5</v>
      </c>
      <c r="I35" s="25">
        <f t="shared" si="31"/>
        <v>-0.14285714285714285</v>
      </c>
      <c r="J35" s="25">
        <f t="shared" si="31"/>
        <v>-0.19148936170212766</v>
      </c>
      <c r="K35" s="29">
        <f t="shared" si="31"/>
        <v>-0.2</v>
      </c>
      <c r="L35" s="25">
        <f t="shared" si="31"/>
        <v>-0.2</v>
      </c>
      <c r="M35" s="25">
        <f t="shared" si="31"/>
        <v>-0.2</v>
      </c>
      <c r="N35" s="25">
        <f t="shared" si="31"/>
        <v>-0.2</v>
      </c>
      <c r="O35" s="25">
        <f t="shared" si="31"/>
        <v>-0.2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3.2">
      <c r="A36" s="23"/>
      <c r="B36" s="22" t="s">
        <v>18</v>
      </c>
      <c r="C36" s="23"/>
      <c r="D36" s="23"/>
      <c r="E36" s="23">
        <v>7</v>
      </c>
      <c r="F36" s="23">
        <v>1</v>
      </c>
      <c r="G36" s="23">
        <v>1</v>
      </c>
      <c r="H36" s="23">
        <v>2</v>
      </c>
      <c r="I36" s="23">
        <v>1</v>
      </c>
      <c r="J36" s="23">
        <v>5</v>
      </c>
      <c r="K36" s="40">
        <v>5</v>
      </c>
      <c r="L36" s="41">
        <v>5</v>
      </c>
      <c r="M36" s="41">
        <v>5</v>
      </c>
      <c r="N36" s="41">
        <v>5</v>
      </c>
      <c r="O36" s="41">
        <v>5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2">
      <c r="A37" s="25"/>
      <c r="B37" s="13" t="s">
        <v>8</v>
      </c>
      <c r="C37" s="25"/>
      <c r="D37" s="25"/>
      <c r="E37" s="25">
        <f t="shared" ref="E37:O37" si="32">E36/E32</f>
        <v>-0.12280701754385964</v>
      </c>
      <c r="F37" s="25">
        <f t="shared" si="32"/>
        <v>-1.6949152542372881E-2</v>
      </c>
      <c r="G37" s="25">
        <f t="shared" si="32"/>
        <v>-6.6666666666666666E-2</v>
      </c>
      <c r="H37" s="25">
        <f t="shared" si="32"/>
        <v>-0.125</v>
      </c>
      <c r="I37" s="25">
        <f t="shared" si="32"/>
        <v>-1.4285714285714285E-2</v>
      </c>
      <c r="J37" s="25">
        <f t="shared" si="32"/>
        <v>-0.10638297872340426</v>
      </c>
      <c r="K37" s="29">
        <f t="shared" si="32"/>
        <v>-0.1</v>
      </c>
      <c r="L37" s="25">
        <f t="shared" si="32"/>
        <v>-0.1</v>
      </c>
      <c r="M37" s="25">
        <f t="shared" si="32"/>
        <v>-0.1</v>
      </c>
      <c r="N37" s="25">
        <f t="shared" si="32"/>
        <v>-0.1</v>
      </c>
      <c r="O37" s="25">
        <f t="shared" si="32"/>
        <v>-0.1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3.2">
      <c r="B38" s="4" t="s">
        <v>19</v>
      </c>
      <c r="K38" s="29">
        <f t="shared" ref="K38:O38" si="33">(K33+K34)/K48</f>
        <v>-1.5917345565572227E-2</v>
      </c>
      <c r="L38" s="25">
        <f t="shared" si="33"/>
        <v>-1.527580084838809E-2</v>
      </c>
      <c r="M38" s="25">
        <f t="shared" si="33"/>
        <v>-1.4972389381182734E-2</v>
      </c>
      <c r="N38" s="25">
        <f t="shared" si="33"/>
        <v>-1.4646498622587257E-2</v>
      </c>
      <c r="O38" s="25">
        <f t="shared" si="33"/>
        <v>-1.4904449455954337E-2</v>
      </c>
    </row>
    <row r="39" spans="1:30" ht="13.2">
      <c r="B39" s="4"/>
      <c r="K39" s="1"/>
    </row>
    <row r="40" spans="1:30" ht="13.2">
      <c r="B40" s="4" t="s">
        <v>20</v>
      </c>
      <c r="K40" s="24">
        <f t="shared" ref="K40:O40" si="34">K41*K42</f>
        <v>159.94999999999999</v>
      </c>
      <c r="L40" s="23">
        <f t="shared" si="34"/>
        <v>242.12887500000005</v>
      </c>
      <c r="M40" s="23">
        <f t="shared" si="34"/>
        <v>332.38069900000005</v>
      </c>
      <c r="N40" s="23">
        <f t="shared" si="34"/>
        <v>433.81799200825009</v>
      </c>
      <c r="O40" s="23">
        <f t="shared" si="34"/>
        <v>515.51045452120854</v>
      </c>
    </row>
    <row r="41" spans="1:30" ht="13.2">
      <c r="B41" s="4" t="s">
        <v>21</v>
      </c>
      <c r="K41" s="24">
        <f t="shared" ref="K41:O41" si="35">J102*0.5</f>
        <v>228.5</v>
      </c>
      <c r="L41" s="23">
        <f t="shared" si="35"/>
        <v>322.83850000000007</v>
      </c>
      <c r="M41" s="23">
        <f t="shared" si="35"/>
        <v>415.47587375000001</v>
      </c>
      <c r="N41" s="23">
        <f t="shared" si="35"/>
        <v>510.37410824500006</v>
      </c>
      <c r="O41" s="23">
        <f t="shared" si="35"/>
        <v>572.78939391245387</v>
      </c>
    </row>
    <row r="42" spans="1:30" ht="13.2">
      <c r="B42" s="4" t="s">
        <v>22</v>
      </c>
      <c r="K42" s="42">
        <v>0.7</v>
      </c>
      <c r="L42" s="43">
        <v>0.75</v>
      </c>
      <c r="M42" s="43">
        <f t="shared" ref="M42:O42" si="36">L42+0.05</f>
        <v>0.8</v>
      </c>
      <c r="N42" s="43">
        <f t="shared" si="36"/>
        <v>0.85000000000000009</v>
      </c>
      <c r="O42" s="43">
        <f t="shared" si="36"/>
        <v>0.90000000000000013</v>
      </c>
    </row>
    <row r="43" spans="1:30" ht="13.2">
      <c r="B43" s="4" t="s">
        <v>23</v>
      </c>
      <c r="K43" s="44">
        <v>0.09</v>
      </c>
      <c r="L43" s="45">
        <v>0.1</v>
      </c>
      <c r="M43" s="45">
        <v>0.11</v>
      </c>
      <c r="N43" s="45">
        <v>0.11</v>
      </c>
      <c r="O43" s="45">
        <v>0.11</v>
      </c>
      <c r="P43" s="45"/>
    </row>
    <row r="44" spans="1:30" ht="13.2">
      <c r="B44" s="4" t="s">
        <v>24</v>
      </c>
      <c r="K44" s="24">
        <f t="shared" ref="K44:O44" si="37">K40*K43</f>
        <v>14.395499999999998</v>
      </c>
      <c r="L44" s="23">
        <f t="shared" si="37"/>
        <v>24.212887500000008</v>
      </c>
      <c r="M44" s="23">
        <f t="shared" si="37"/>
        <v>36.561876890000008</v>
      </c>
      <c r="N44" s="23">
        <f t="shared" si="37"/>
        <v>47.71997912090751</v>
      </c>
      <c r="O44" s="23">
        <f t="shared" si="37"/>
        <v>56.706149997332943</v>
      </c>
    </row>
    <row r="45" spans="1:30" ht="13.2">
      <c r="B45" s="4"/>
      <c r="K45" s="1"/>
    </row>
    <row r="46" spans="1:30" ht="13.2">
      <c r="B46" s="4"/>
      <c r="K46" s="1"/>
    </row>
    <row r="47" spans="1:30" ht="13.2">
      <c r="B47" s="4"/>
      <c r="K47" s="1"/>
    </row>
    <row r="48" spans="1:30" ht="13.2">
      <c r="A48" s="31"/>
      <c r="B48" s="6" t="s">
        <v>25</v>
      </c>
      <c r="C48" s="46">
        <v>2449</v>
      </c>
      <c r="D48" s="46">
        <v>2608</v>
      </c>
      <c r="E48" s="46">
        <v>3046</v>
      </c>
      <c r="F48" s="46">
        <v>3728</v>
      </c>
      <c r="G48" s="46">
        <f t="shared" ref="G48:I48" si="38">G32+G18+G4</f>
        <v>4092</v>
      </c>
      <c r="H48" s="46">
        <f t="shared" si="38"/>
        <v>3587</v>
      </c>
      <c r="I48" s="46">
        <f t="shared" si="38"/>
        <v>3940</v>
      </c>
      <c r="J48" s="46">
        <f t="shared" ref="J48:K48" si="39">J4+J18+J32</f>
        <v>6558</v>
      </c>
      <c r="K48" s="46">
        <f t="shared" si="39"/>
        <v>6910.7000000000007</v>
      </c>
      <c r="L48" s="46">
        <f t="shared" ref="L48:O48" si="40">L4+L18+L32+L40</f>
        <v>7528.2468750000007</v>
      </c>
      <c r="M48" s="46">
        <f t="shared" si="40"/>
        <v>8014.7528190000012</v>
      </c>
      <c r="N48" s="46">
        <f t="shared" si="40"/>
        <v>8534.4629608082505</v>
      </c>
      <c r="O48" s="46">
        <f t="shared" si="40"/>
        <v>9057.6978639132103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3.2">
      <c r="A49" s="25"/>
      <c r="B49" s="25" t="s">
        <v>11</v>
      </c>
      <c r="C49" s="25"/>
      <c r="D49" s="25">
        <f t="shared" ref="D49:O49" si="41">D48/C48-1</f>
        <v>6.4924458962841936E-2</v>
      </c>
      <c r="E49" s="25">
        <f t="shared" si="41"/>
        <v>0.16794478527607359</v>
      </c>
      <c r="F49" s="25">
        <f t="shared" si="41"/>
        <v>0.22390019697964547</v>
      </c>
      <c r="G49" s="25">
        <f t="shared" si="41"/>
        <v>9.7639484978540692E-2</v>
      </c>
      <c r="H49" s="25">
        <f t="shared" si="41"/>
        <v>-0.12341153470185728</v>
      </c>
      <c r="I49" s="25">
        <f t="shared" si="41"/>
        <v>9.841092835238352E-2</v>
      </c>
      <c r="J49" s="25">
        <f t="shared" si="41"/>
        <v>0.66446700507614209</v>
      </c>
      <c r="K49" s="29">
        <f t="shared" si="41"/>
        <v>5.3781640744129389E-2</v>
      </c>
      <c r="L49" s="25">
        <f t="shared" si="41"/>
        <v>8.9360972839220398E-2</v>
      </c>
      <c r="M49" s="25">
        <f t="shared" si="41"/>
        <v>6.4624068800878787E-2</v>
      </c>
      <c r="N49" s="25">
        <f t="shared" si="41"/>
        <v>6.4844188404190151E-2</v>
      </c>
      <c r="O49" s="25">
        <f t="shared" si="41"/>
        <v>6.1308474300930893E-2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3.2">
      <c r="A50" s="23"/>
      <c r="B50" s="23" t="s">
        <v>26</v>
      </c>
      <c r="C50" s="23">
        <v>1906</v>
      </c>
      <c r="D50" s="23">
        <v>2004</v>
      </c>
      <c r="E50" s="23">
        <v>2382</v>
      </c>
      <c r="F50" s="23">
        <v>2941</v>
      </c>
      <c r="G50" s="23">
        <v>3290</v>
      </c>
      <c r="H50" s="23">
        <v>2831</v>
      </c>
      <c r="I50" s="23">
        <v>3001</v>
      </c>
      <c r="J50" s="23">
        <v>4844</v>
      </c>
      <c r="K50" s="24">
        <f t="shared" ref="K50:O50" si="42">K48-K51</f>
        <v>5062.0877500000006</v>
      </c>
      <c r="L50" s="23">
        <f t="shared" si="42"/>
        <v>5491.8560953125007</v>
      </c>
      <c r="M50" s="23">
        <f t="shared" si="42"/>
        <v>5822.7179230035008</v>
      </c>
      <c r="N50" s="23">
        <f t="shared" si="42"/>
        <v>6174.6839521447691</v>
      </c>
      <c r="O50" s="23">
        <f t="shared" si="42"/>
        <v>6526.0713109494682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3.2">
      <c r="B51" s="4" t="s">
        <v>27</v>
      </c>
      <c r="C51" s="23">
        <f t="shared" ref="C51:J51" si="43">C48-C50</f>
        <v>543</v>
      </c>
      <c r="D51" s="23">
        <f t="shared" si="43"/>
        <v>604</v>
      </c>
      <c r="E51" s="23">
        <f t="shared" si="43"/>
        <v>664</v>
      </c>
      <c r="F51" s="23">
        <f t="shared" si="43"/>
        <v>787</v>
      </c>
      <c r="G51" s="23">
        <f t="shared" si="43"/>
        <v>802</v>
      </c>
      <c r="H51" s="23">
        <f t="shared" si="43"/>
        <v>756</v>
      </c>
      <c r="I51" s="23">
        <f t="shared" si="43"/>
        <v>939</v>
      </c>
      <c r="J51" s="23">
        <f t="shared" si="43"/>
        <v>1714</v>
      </c>
      <c r="K51" s="24">
        <f t="shared" ref="K51:O51" si="44">K48*K52</f>
        <v>1848.6122500000004</v>
      </c>
      <c r="L51" s="23">
        <f t="shared" si="44"/>
        <v>2036.3907796875003</v>
      </c>
      <c r="M51" s="23">
        <f t="shared" si="44"/>
        <v>2192.0348959965004</v>
      </c>
      <c r="N51" s="23">
        <f t="shared" si="44"/>
        <v>2359.7790086634814</v>
      </c>
      <c r="O51" s="23">
        <f t="shared" si="44"/>
        <v>2531.6265529637426</v>
      </c>
    </row>
    <row r="52" spans="1:30" ht="13.2">
      <c r="A52" s="25"/>
      <c r="B52" s="4" t="s">
        <v>28</v>
      </c>
      <c r="C52" s="25">
        <f t="shared" ref="C52:J52" si="45">C51/C48</f>
        <v>0.2217231523070641</v>
      </c>
      <c r="D52" s="25">
        <f t="shared" si="45"/>
        <v>0.23159509202453987</v>
      </c>
      <c r="E52" s="25">
        <f t="shared" si="45"/>
        <v>0.21799080761654629</v>
      </c>
      <c r="F52" s="25">
        <f t="shared" si="45"/>
        <v>0.21110515021459228</v>
      </c>
      <c r="G52" s="25">
        <f t="shared" si="45"/>
        <v>0.1959921798631476</v>
      </c>
      <c r="H52" s="25">
        <f t="shared" si="45"/>
        <v>0.21076108168385838</v>
      </c>
      <c r="I52" s="25">
        <f t="shared" si="45"/>
        <v>0.2383248730964467</v>
      </c>
      <c r="J52" s="25">
        <f t="shared" si="45"/>
        <v>0.26136017078377555</v>
      </c>
      <c r="K52" s="26">
        <v>0.26750000000000002</v>
      </c>
      <c r="L52" s="27">
        <f t="shared" ref="L52:O52" si="46">K52+0.003</f>
        <v>0.27050000000000002</v>
      </c>
      <c r="M52" s="27">
        <f t="shared" si="46"/>
        <v>0.27350000000000002</v>
      </c>
      <c r="N52" s="27">
        <f t="shared" si="46"/>
        <v>0.27650000000000002</v>
      </c>
      <c r="O52" s="27">
        <f t="shared" si="46"/>
        <v>0.27950000000000003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3.2">
      <c r="B53" s="4" t="s">
        <v>29</v>
      </c>
      <c r="D53" s="25">
        <f t="shared" ref="D53:O53" si="47">(D51-C51)/(D48-C48)</f>
        <v>0.38364779874213839</v>
      </c>
      <c r="E53" s="25">
        <f t="shared" si="47"/>
        <v>0.13698630136986301</v>
      </c>
      <c r="F53" s="25">
        <f t="shared" si="47"/>
        <v>0.18035190615835778</v>
      </c>
      <c r="G53" s="25">
        <f t="shared" si="47"/>
        <v>4.1208791208791208E-2</v>
      </c>
      <c r="H53" s="25">
        <f t="shared" si="47"/>
        <v>9.1089108910891087E-2</v>
      </c>
      <c r="I53" s="25">
        <f t="shared" si="47"/>
        <v>0.5184135977337111</v>
      </c>
      <c r="J53" s="25">
        <f t="shared" si="47"/>
        <v>0.29602750190985483</v>
      </c>
      <c r="K53" s="29">
        <f t="shared" si="47"/>
        <v>0.38166217748795034</v>
      </c>
      <c r="L53" s="25">
        <f t="shared" si="47"/>
        <v>0.30407170255294375</v>
      </c>
      <c r="M53" s="25">
        <f t="shared" si="47"/>
        <v>0.31992233235489498</v>
      </c>
      <c r="N53" s="25">
        <f t="shared" si="47"/>
        <v>0.32276474744814843</v>
      </c>
      <c r="O53" s="25">
        <f t="shared" si="47"/>
        <v>0.32843287647764008</v>
      </c>
    </row>
    <row r="54" spans="1:30" ht="13.2">
      <c r="A54" s="23"/>
      <c r="B54" s="23" t="s">
        <v>30</v>
      </c>
      <c r="C54" s="23">
        <v>431</v>
      </c>
      <c r="D54" s="23">
        <v>498</v>
      </c>
      <c r="E54" s="23">
        <v>511</v>
      </c>
      <c r="F54" s="23">
        <v>625</v>
      </c>
      <c r="G54" s="23">
        <v>849</v>
      </c>
      <c r="H54" s="23">
        <v>725</v>
      </c>
      <c r="I54" s="23">
        <v>803</v>
      </c>
      <c r="J54" s="23">
        <v>1552</v>
      </c>
      <c r="K54" s="24">
        <f t="shared" ref="K54:O54" si="48">K51-K58</f>
        <v>1502.4752500000004</v>
      </c>
      <c r="L54" s="23">
        <f t="shared" si="48"/>
        <v>1520.8402321875003</v>
      </c>
      <c r="M54" s="23">
        <f t="shared" si="48"/>
        <v>1503.4163035065003</v>
      </c>
      <c r="N54" s="23">
        <f t="shared" si="48"/>
        <v>1563.9741483585738</v>
      </c>
      <c r="O54" s="23">
        <f t="shared" si="48"/>
        <v>1626.4263093390496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3.2">
      <c r="B55" s="47" t="s">
        <v>31</v>
      </c>
      <c r="D55" s="25">
        <f t="shared" ref="D55:O55" si="49">D54/C54-1</f>
        <v>0.15545243619489568</v>
      </c>
      <c r="E55" s="25">
        <f t="shared" si="49"/>
        <v>2.6104417670682833E-2</v>
      </c>
      <c r="F55" s="25">
        <f t="shared" si="49"/>
        <v>0.22309197651663415</v>
      </c>
      <c r="G55" s="25">
        <f t="shared" si="49"/>
        <v>0.35840000000000005</v>
      </c>
      <c r="H55" s="25">
        <f t="shared" si="49"/>
        <v>-0.14605418138987047</v>
      </c>
      <c r="I55" s="25">
        <f t="shared" si="49"/>
        <v>0.10758620689655163</v>
      </c>
      <c r="J55" s="25">
        <f t="shared" si="49"/>
        <v>0.93275217932752175</v>
      </c>
      <c r="K55" s="29">
        <f t="shared" si="49"/>
        <v>-3.1910277061855452E-2</v>
      </c>
      <c r="L55" s="25">
        <f t="shared" si="49"/>
        <v>1.2223151221625761E-2</v>
      </c>
      <c r="M55" s="25">
        <f t="shared" si="49"/>
        <v>-1.1456777847031474E-2</v>
      </c>
      <c r="N55" s="25">
        <f t="shared" si="49"/>
        <v>4.0280157073480538E-2</v>
      </c>
      <c r="O55" s="25">
        <f t="shared" si="49"/>
        <v>3.9931709258762771E-2</v>
      </c>
    </row>
    <row r="56" spans="1:30" ht="13.2">
      <c r="A56" s="48"/>
      <c r="B56" s="49" t="s">
        <v>8</v>
      </c>
      <c r="C56" s="25">
        <f t="shared" ref="C56:O56" si="50">C54/C48</f>
        <v>0.17599020008166599</v>
      </c>
      <c r="D56" s="25">
        <f t="shared" si="50"/>
        <v>0.19095092024539878</v>
      </c>
      <c r="E56" s="25">
        <f t="shared" si="50"/>
        <v>0.16776099803020356</v>
      </c>
      <c r="F56" s="25">
        <f t="shared" si="50"/>
        <v>0.16765021459227467</v>
      </c>
      <c r="G56" s="25">
        <f t="shared" si="50"/>
        <v>0.20747800586510265</v>
      </c>
      <c r="H56" s="25">
        <f t="shared" si="50"/>
        <v>0.20211876219682184</v>
      </c>
      <c r="I56" s="25">
        <f t="shared" si="50"/>
        <v>0.20380710659898477</v>
      </c>
      <c r="J56" s="25">
        <f t="shared" si="50"/>
        <v>0.23665751753583408</v>
      </c>
      <c r="K56" s="50">
        <f t="shared" si="50"/>
        <v>0.2174128887088139</v>
      </c>
      <c r="L56" s="51">
        <f t="shared" si="50"/>
        <v>0.20201784790532659</v>
      </c>
      <c r="M56" s="51">
        <f t="shared" si="50"/>
        <v>0.18758111915098102</v>
      </c>
      <c r="N56" s="51">
        <f t="shared" si="50"/>
        <v>0.18325396167756741</v>
      </c>
      <c r="O56" s="51">
        <f t="shared" si="50"/>
        <v>0.17956287941761642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3.2">
      <c r="A57" s="48"/>
      <c r="B57" s="48" t="s">
        <v>32</v>
      </c>
      <c r="C57" s="48">
        <v>0</v>
      </c>
      <c r="D57" s="48">
        <v>0</v>
      </c>
      <c r="E57" s="48">
        <v>30</v>
      </c>
      <c r="F57" s="48">
        <v>0</v>
      </c>
      <c r="G57" s="48">
        <v>12</v>
      </c>
      <c r="H57" s="48">
        <v>197</v>
      </c>
      <c r="I57" s="48">
        <v>0</v>
      </c>
      <c r="J57" s="48">
        <v>0</v>
      </c>
      <c r="K57" s="52">
        <v>0</v>
      </c>
      <c r="L57" s="48">
        <v>0</v>
      </c>
      <c r="M57" s="48">
        <v>0</v>
      </c>
      <c r="N57" s="48">
        <v>0</v>
      </c>
      <c r="O57" s="48">
        <v>0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3.2">
      <c r="B58" s="4" t="s">
        <v>33</v>
      </c>
      <c r="C58" s="23">
        <f t="shared" ref="C58:J58" si="51">C51-C54-C57</f>
        <v>112</v>
      </c>
      <c r="D58" s="23">
        <f t="shared" si="51"/>
        <v>106</v>
      </c>
      <c r="E58" s="23">
        <f t="shared" si="51"/>
        <v>123</v>
      </c>
      <c r="F58" s="23">
        <f t="shared" si="51"/>
        <v>162</v>
      </c>
      <c r="G58" s="23">
        <f t="shared" si="51"/>
        <v>-59</v>
      </c>
      <c r="H58" s="23">
        <f t="shared" si="51"/>
        <v>-166</v>
      </c>
      <c r="I58" s="23">
        <f t="shared" si="51"/>
        <v>136</v>
      </c>
      <c r="J58" s="23">
        <f t="shared" si="51"/>
        <v>162</v>
      </c>
      <c r="K58" s="24">
        <f>K6+K20+K33</f>
        <v>346.13700000000006</v>
      </c>
      <c r="L58" s="23">
        <f t="shared" ref="L58:O58" si="52">L6+L20+L33+L44</f>
        <v>515.55054749999999</v>
      </c>
      <c r="M58" s="23">
        <f t="shared" si="52"/>
        <v>688.61859249000008</v>
      </c>
      <c r="N58" s="23">
        <f t="shared" si="52"/>
        <v>795.80486030490761</v>
      </c>
      <c r="O58" s="23">
        <f t="shared" si="52"/>
        <v>905.20024362469303</v>
      </c>
    </row>
    <row r="59" spans="1:30" ht="13.2">
      <c r="B59" s="4" t="s">
        <v>34</v>
      </c>
      <c r="C59" s="25">
        <f t="shared" ref="C59:O59" si="53">C58/C48</f>
        <v>4.5732952225398124E-2</v>
      </c>
      <c r="D59" s="25">
        <f t="shared" si="53"/>
        <v>4.0644171779141106E-2</v>
      </c>
      <c r="E59" s="25">
        <f t="shared" si="53"/>
        <v>4.0380827314510835E-2</v>
      </c>
      <c r="F59" s="25">
        <f t="shared" si="53"/>
        <v>4.3454935622317593E-2</v>
      </c>
      <c r="G59" s="25">
        <f t="shared" si="53"/>
        <v>-1.4418377321603127E-2</v>
      </c>
      <c r="H59" s="25">
        <f t="shared" si="53"/>
        <v>-4.6278226930582658E-2</v>
      </c>
      <c r="I59" s="25">
        <f t="shared" si="53"/>
        <v>3.4517766497461931E-2</v>
      </c>
      <c r="J59" s="25">
        <f t="shared" si="53"/>
        <v>2.4702653247941447E-2</v>
      </c>
      <c r="K59" s="29">
        <f t="shared" si="53"/>
        <v>5.0087111291186134E-2</v>
      </c>
      <c r="L59" s="25">
        <f t="shared" si="53"/>
        <v>6.8482152094673426E-2</v>
      </c>
      <c r="M59" s="25">
        <f t="shared" si="53"/>
        <v>8.5918880849018983E-2</v>
      </c>
      <c r="N59" s="25">
        <f t="shared" si="53"/>
        <v>9.3246038322432584E-2</v>
      </c>
      <c r="O59" s="25">
        <f t="shared" si="53"/>
        <v>9.9937120582383618E-2</v>
      </c>
    </row>
    <row r="60" spans="1:30" ht="13.2">
      <c r="A60" s="25"/>
      <c r="B60" s="25" t="s">
        <v>35</v>
      </c>
      <c r="C60" s="25"/>
      <c r="D60" s="25">
        <f t="shared" ref="D60:O60" si="54">(D58-C58)/(D48-C48)</f>
        <v>-3.7735849056603772E-2</v>
      </c>
      <c r="E60" s="25">
        <f t="shared" si="54"/>
        <v>3.8812785388127852E-2</v>
      </c>
      <c r="F60" s="25">
        <f t="shared" si="54"/>
        <v>5.7184750733137828E-2</v>
      </c>
      <c r="G60" s="25">
        <f t="shared" si="54"/>
        <v>-0.6071428571428571</v>
      </c>
      <c r="H60" s="25">
        <f t="shared" si="54"/>
        <v>0.21188118811881188</v>
      </c>
      <c r="I60" s="25">
        <f t="shared" si="54"/>
        <v>0.85552407932011332</v>
      </c>
      <c r="J60" s="25">
        <f t="shared" si="54"/>
        <v>9.9312452253628725E-3</v>
      </c>
      <c r="K60" s="29">
        <f t="shared" si="54"/>
        <v>0.5220782534732058</v>
      </c>
      <c r="L60" s="25">
        <f t="shared" si="54"/>
        <v>0.27433309819598706</v>
      </c>
      <c r="M60" s="25">
        <f t="shared" si="54"/>
        <v>0.35573675332114735</v>
      </c>
      <c r="N60" s="25">
        <f t="shared" si="54"/>
        <v>0.20624240166253027</v>
      </c>
      <c r="O60" s="25">
        <f t="shared" si="54"/>
        <v>0.20907508782502024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13.2">
      <c r="A61" s="23"/>
      <c r="B61" s="23" t="s">
        <v>36</v>
      </c>
      <c r="C61" s="23">
        <v>0</v>
      </c>
      <c r="D61" s="23">
        <v>-7</v>
      </c>
      <c r="E61" s="23">
        <v>3</v>
      </c>
      <c r="F61" s="23">
        <v>16</v>
      </c>
      <c r="G61" s="23">
        <v>-1</v>
      </c>
      <c r="H61" s="23">
        <v>18</v>
      </c>
      <c r="I61" s="23">
        <v>57</v>
      </c>
      <c r="J61" s="23">
        <v>69</v>
      </c>
      <c r="K61" s="24">
        <f t="shared" ref="K61:O61" si="55">K106*5.5%</f>
        <v>142.065</v>
      </c>
      <c r="L61" s="23">
        <f t="shared" si="55"/>
        <v>131.065</v>
      </c>
      <c r="M61" s="23">
        <f t="shared" si="55"/>
        <v>126.31759179063752</v>
      </c>
      <c r="N61" s="23">
        <f t="shared" si="55"/>
        <v>126.01366666073986</v>
      </c>
      <c r="O61" s="23">
        <f t="shared" si="55"/>
        <v>140.09443733110024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13.2">
      <c r="B62" s="4" t="s">
        <v>37</v>
      </c>
      <c r="C62" s="23">
        <f t="shared" ref="C62:O62" si="56">C58-C61</f>
        <v>112</v>
      </c>
      <c r="D62" s="23">
        <f t="shared" si="56"/>
        <v>113</v>
      </c>
      <c r="E62" s="23">
        <f t="shared" si="56"/>
        <v>120</v>
      </c>
      <c r="F62" s="23">
        <f t="shared" si="56"/>
        <v>146</v>
      </c>
      <c r="G62" s="23">
        <f t="shared" si="56"/>
        <v>-58</v>
      </c>
      <c r="H62" s="23">
        <f t="shared" si="56"/>
        <v>-184</v>
      </c>
      <c r="I62" s="23">
        <f t="shared" si="56"/>
        <v>79</v>
      </c>
      <c r="J62" s="23">
        <f t="shared" si="56"/>
        <v>93</v>
      </c>
      <c r="K62" s="24">
        <f t="shared" si="56"/>
        <v>204.07200000000006</v>
      </c>
      <c r="L62" s="23">
        <f t="shared" si="56"/>
        <v>384.4855475</v>
      </c>
      <c r="M62" s="23">
        <f t="shared" si="56"/>
        <v>562.30100069936259</v>
      </c>
      <c r="N62" s="23">
        <f t="shared" si="56"/>
        <v>669.79119364416772</v>
      </c>
      <c r="O62" s="23">
        <f t="shared" si="56"/>
        <v>765.10580629359276</v>
      </c>
    </row>
    <row r="63" spans="1:30" ht="13.2">
      <c r="A63" s="23"/>
      <c r="B63" s="23" t="s">
        <v>38</v>
      </c>
      <c r="C63" s="23">
        <v>6</v>
      </c>
      <c r="D63" s="23">
        <v>9</v>
      </c>
      <c r="E63" s="23">
        <v>8</v>
      </c>
      <c r="F63" s="23">
        <v>10</v>
      </c>
      <c r="G63" s="23">
        <v>9</v>
      </c>
      <c r="H63" s="23">
        <v>-31</v>
      </c>
      <c r="I63" s="23">
        <v>32</v>
      </c>
      <c r="J63" s="23">
        <v>20</v>
      </c>
      <c r="K63" s="24">
        <f t="shared" ref="K63:O63" si="57">K64*K62</f>
        <v>42.855120000000014</v>
      </c>
      <c r="L63" s="23">
        <f t="shared" si="57"/>
        <v>80.741964975000002</v>
      </c>
      <c r="M63" s="23">
        <f t="shared" si="57"/>
        <v>118.08321014686614</v>
      </c>
      <c r="N63" s="23">
        <f t="shared" si="57"/>
        <v>140.65615066527522</v>
      </c>
      <c r="O63" s="23">
        <f t="shared" si="57"/>
        <v>160.67221932165447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13.2">
      <c r="A64" s="20"/>
      <c r="B64" s="20" t="s">
        <v>39</v>
      </c>
      <c r="C64" s="15">
        <f t="shared" ref="C64:J64" si="58">C63/C62</f>
        <v>5.3571428571428568E-2</v>
      </c>
      <c r="D64" s="15">
        <f t="shared" si="58"/>
        <v>7.9646017699115043E-2</v>
      </c>
      <c r="E64" s="15">
        <f t="shared" si="58"/>
        <v>6.6666666666666666E-2</v>
      </c>
      <c r="F64" s="15">
        <f t="shared" si="58"/>
        <v>6.8493150684931503E-2</v>
      </c>
      <c r="G64" s="15">
        <f t="shared" si="58"/>
        <v>-0.15517241379310345</v>
      </c>
      <c r="H64" s="15">
        <f t="shared" si="58"/>
        <v>0.16847826086956522</v>
      </c>
      <c r="I64" s="15">
        <f t="shared" si="58"/>
        <v>0.4050632911392405</v>
      </c>
      <c r="J64" s="15">
        <f t="shared" si="58"/>
        <v>0.21505376344086022</v>
      </c>
      <c r="K64" s="53">
        <v>0.21</v>
      </c>
      <c r="L64" s="54">
        <v>0.21</v>
      </c>
      <c r="M64" s="54">
        <v>0.21</v>
      </c>
      <c r="N64" s="54">
        <v>0.21</v>
      </c>
      <c r="O64" s="54">
        <v>0.21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ht="13.2">
      <c r="A65" s="23"/>
      <c r="B65" s="23" t="s">
        <v>40</v>
      </c>
      <c r="C65" s="23"/>
      <c r="D65" s="23"/>
      <c r="E65" s="23"/>
      <c r="F65" s="23"/>
      <c r="G65" s="23"/>
      <c r="H65" s="23">
        <v>222</v>
      </c>
      <c r="I65" s="23">
        <v>184</v>
      </c>
      <c r="J65" s="23">
        <v>0</v>
      </c>
      <c r="K65" s="24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3.2">
      <c r="A66" s="23"/>
      <c r="B66" s="23" t="s">
        <v>41</v>
      </c>
      <c r="C66" s="23"/>
      <c r="D66" s="23"/>
      <c r="E66" s="23"/>
      <c r="F66" s="23"/>
      <c r="G66" s="23"/>
      <c r="H66" s="23"/>
      <c r="I66" s="23"/>
      <c r="J66" s="23">
        <v>44</v>
      </c>
      <c r="K66" s="24">
        <v>44</v>
      </c>
      <c r="L66" s="23">
        <v>44</v>
      </c>
      <c r="M66" s="23">
        <v>44</v>
      </c>
      <c r="N66" s="23">
        <v>44</v>
      </c>
      <c r="O66" s="23">
        <v>44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3.2">
      <c r="B67" s="4"/>
      <c r="K67" s="1"/>
    </row>
    <row r="68" spans="1:30" ht="13.2">
      <c r="B68" s="4" t="s">
        <v>42</v>
      </c>
      <c r="C68" s="23">
        <f t="shared" ref="C68:G68" si="59">C62-C63</f>
        <v>106</v>
      </c>
      <c r="D68" s="23">
        <f t="shared" si="59"/>
        <v>104</v>
      </c>
      <c r="E68" s="23">
        <f t="shared" si="59"/>
        <v>112</v>
      </c>
      <c r="F68" s="23">
        <f t="shared" si="59"/>
        <v>136</v>
      </c>
      <c r="G68" s="23">
        <f t="shared" si="59"/>
        <v>-67</v>
      </c>
      <c r="H68" s="23">
        <f t="shared" ref="H68:I68" si="60">H62-H63-H65</f>
        <v>-375</v>
      </c>
      <c r="I68" s="23">
        <f t="shared" si="60"/>
        <v>-137</v>
      </c>
      <c r="J68" s="23">
        <f>J62-J63-J66-J65</f>
        <v>29</v>
      </c>
      <c r="K68" s="24">
        <f t="shared" ref="K68:O68" si="61">K62-K63</f>
        <v>161.21688000000006</v>
      </c>
      <c r="L68" s="23">
        <f t="shared" si="61"/>
        <v>303.74358252499997</v>
      </c>
      <c r="M68" s="23">
        <f t="shared" si="61"/>
        <v>444.21779055249647</v>
      </c>
      <c r="N68" s="23">
        <f t="shared" si="61"/>
        <v>529.13504297889244</v>
      </c>
      <c r="O68" s="23">
        <f t="shared" si="61"/>
        <v>604.43358697193833</v>
      </c>
    </row>
    <row r="69" spans="1:30" ht="13.2">
      <c r="B69" s="4" t="s">
        <v>43</v>
      </c>
      <c r="C69" s="15">
        <f t="shared" ref="C69:O69" si="62">C68/C48</f>
        <v>4.3282972641894651E-2</v>
      </c>
      <c r="D69" s="15">
        <f t="shared" si="62"/>
        <v>3.9877300613496931E-2</v>
      </c>
      <c r="E69" s="15">
        <f t="shared" si="62"/>
        <v>3.6769533814839134E-2</v>
      </c>
      <c r="F69" s="15">
        <f t="shared" si="62"/>
        <v>3.6480686695278972E-2</v>
      </c>
      <c r="G69" s="15">
        <f t="shared" si="62"/>
        <v>-1.6373411534701857E-2</v>
      </c>
      <c r="H69" s="15">
        <f t="shared" si="62"/>
        <v>-0.10454418734318371</v>
      </c>
      <c r="I69" s="15">
        <f t="shared" si="62"/>
        <v>-3.4771573604060912E-2</v>
      </c>
      <c r="J69" s="15">
        <f t="shared" si="62"/>
        <v>4.4220799024092712E-3</v>
      </c>
      <c r="K69" s="21">
        <f t="shared" si="62"/>
        <v>2.332858899966719E-2</v>
      </c>
      <c r="L69" s="15">
        <f t="shared" si="62"/>
        <v>4.0347186744589848E-2</v>
      </c>
      <c r="M69" s="15">
        <f t="shared" si="62"/>
        <v>5.5425014418338782E-2</v>
      </c>
      <c r="N69" s="15">
        <f t="shared" si="62"/>
        <v>6.1999805425223972E-2</v>
      </c>
      <c r="O69" s="15">
        <f t="shared" si="62"/>
        <v>6.673148034447729E-2</v>
      </c>
    </row>
    <row r="70" spans="1:30" ht="13.2">
      <c r="B70" s="4" t="s">
        <v>44</v>
      </c>
      <c r="H70" s="55">
        <f t="shared" ref="H70:O70" si="63">H68/H72</f>
        <v>-2.2189349112426036</v>
      </c>
      <c r="I70" s="55">
        <f t="shared" si="63"/>
        <v>-0.66504854368932043</v>
      </c>
      <c r="J70" s="55">
        <f t="shared" si="63"/>
        <v>0.12446351931330472</v>
      </c>
      <c r="K70" s="56">
        <f t="shared" si="63"/>
        <v>0.64665228029361055</v>
      </c>
      <c r="L70" s="55">
        <f t="shared" si="63"/>
        <v>1.149374471749576</v>
      </c>
      <c r="M70" s="55">
        <f t="shared" si="63"/>
        <v>1.6008884991669423</v>
      </c>
      <c r="N70" s="55">
        <f t="shared" si="63"/>
        <v>1.8335734936493435</v>
      </c>
      <c r="O70" s="55">
        <f t="shared" si="63"/>
        <v>2.0334952487923759</v>
      </c>
    </row>
    <row r="71" spans="1:30" ht="13.2">
      <c r="B71" s="4" t="s">
        <v>3</v>
      </c>
      <c r="H71" s="4"/>
      <c r="I71" s="45">
        <f t="shared" ref="I71:O71" si="64">I70/H70-1</f>
        <v>-0.70028478964401297</v>
      </c>
      <c r="J71" s="45">
        <f t="shared" si="64"/>
        <v>-1.1871495253908086</v>
      </c>
      <c r="K71" s="44">
        <f t="shared" si="64"/>
        <v>4.1955165968417676</v>
      </c>
      <c r="L71" s="45">
        <f t="shared" si="64"/>
        <v>0.77742274600455419</v>
      </c>
      <c r="M71" s="45">
        <f t="shared" si="64"/>
        <v>0.3928345709036607</v>
      </c>
      <c r="N71" s="45">
        <f t="shared" si="64"/>
        <v>0.14534740839445348</v>
      </c>
      <c r="O71" s="45">
        <f t="shared" si="64"/>
        <v>0.10903394700865254</v>
      </c>
    </row>
    <row r="72" spans="1:30" ht="13.2">
      <c r="B72" s="4" t="s">
        <v>45</v>
      </c>
      <c r="H72" s="4">
        <v>169</v>
      </c>
      <c r="I72" s="4">
        <v>206</v>
      </c>
      <c r="J72" s="4">
        <v>233</v>
      </c>
      <c r="K72" s="57">
        <f>J72*1.07</f>
        <v>249.31</v>
      </c>
      <c r="L72" s="58">
        <f>K72*1.06</f>
        <v>264.26859999999999</v>
      </c>
      <c r="M72" s="58">
        <f>L72*1.05</f>
        <v>277.48203000000001</v>
      </c>
      <c r="N72" s="58">
        <f>M72*1.04</f>
        <v>288.58131120000002</v>
      </c>
      <c r="O72" s="58">
        <f>N72*1.03</f>
        <v>297.238750536</v>
      </c>
    </row>
    <row r="73" spans="1:30" ht="13.2">
      <c r="K73" s="1"/>
    </row>
    <row r="74" spans="1:30" ht="13.2">
      <c r="B74" s="4" t="s">
        <v>46</v>
      </c>
      <c r="E74" s="23">
        <f t="shared" ref="E74:J74" si="65">E58-E63</f>
        <v>115</v>
      </c>
      <c r="F74" s="23">
        <f t="shared" si="65"/>
        <v>152</v>
      </c>
      <c r="G74" s="23">
        <f t="shared" si="65"/>
        <v>-68</v>
      </c>
      <c r="H74" s="23">
        <f t="shared" si="65"/>
        <v>-135</v>
      </c>
      <c r="I74" s="23">
        <f t="shared" si="65"/>
        <v>104</v>
      </c>
      <c r="J74" s="23">
        <f t="shared" si="65"/>
        <v>142</v>
      </c>
      <c r="K74" s="24">
        <f t="shared" ref="K74:O74" si="66">K58*0.79</f>
        <v>273.44823000000008</v>
      </c>
      <c r="L74" s="23">
        <f t="shared" si="66"/>
        <v>407.28493252499999</v>
      </c>
      <c r="M74" s="23">
        <f t="shared" si="66"/>
        <v>544.00868806710014</v>
      </c>
      <c r="N74" s="23">
        <f t="shared" si="66"/>
        <v>628.68583964087702</v>
      </c>
      <c r="O74" s="23">
        <f t="shared" si="66"/>
        <v>715.10819246350752</v>
      </c>
    </row>
    <row r="75" spans="1:30" ht="13.2" hidden="1">
      <c r="A75" s="23"/>
      <c r="B75" s="23" t="s">
        <v>47</v>
      </c>
      <c r="C75" s="23"/>
      <c r="D75" s="23"/>
      <c r="E75" s="23">
        <f t="shared" ref="E75:G75" si="67">E9</f>
        <v>12</v>
      </c>
      <c r="F75" s="23">
        <f t="shared" si="67"/>
        <v>19</v>
      </c>
      <c r="G75" s="23">
        <f t="shared" si="67"/>
        <v>33</v>
      </c>
      <c r="H75" s="23">
        <v>119</v>
      </c>
      <c r="I75" s="23">
        <v>74</v>
      </c>
      <c r="J75" s="23">
        <f>26+167</f>
        <v>193</v>
      </c>
      <c r="K75" s="24">
        <f t="shared" ref="K75:O75" si="68">K76*K4</f>
        <v>193.98000000000002</v>
      </c>
      <c r="L75" s="23">
        <f t="shared" si="68"/>
        <v>205.61880000000002</v>
      </c>
      <c r="M75" s="23">
        <f t="shared" si="68"/>
        <v>217.95592800000003</v>
      </c>
      <c r="N75" s="23">
        <f t="shared" si="68"/>
        <v>231.03328368000004</v>
      </c>
      <c r="O75" s="23">
        <f t="shared" si="68"/>
        <v>244.89528070080004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13.2" hidden="1">
      <c r="A76" s="20"/>
      <c r="B76" s="59" t="s">
        <v>48</v>
      </c>
      <c r="C76" s="20"/>
      <c r="D76" s="20"/>
      <c r="E76" s="15">
        <f t="shared" ref="E76:J76" si="69">E75/E4</f>
        <v>7.4953154278575894E-3</v>
      </c>
      <c r="F76" s="15">
        <f t="shared" si="69"/>
        <v>1.1143695014662757E-2</v>
      </c>
      <c r="G76" s="15">
        <f t="shared" si="69"/>
        <v>1.8570624648283626E-2</v>
      </c>
      <c r="H76" s="15">
        <f t="shared" si="69"/>
        <v>7.2605247101891396E-2</v>
      </c>
      <c r="I76" s="15">
        <f t="shared" si="69"/>
        <v>3.5576923076923075E-2</v>
      </c>
      <c r="J76" s="15">
        <f t="shared" si="69"/>
        <v>4.2185792349726775E-2</v>
      </c>
      <c r="K76" s="21">
        <f t="shared" ref="K76:O76" si="70">K10</f>
        <v>0.04</v>
      </c>
      <c r="L76" s="15">
        <f t="shared" si="70"/>
        <v>0.04</v>
      </c>
      <c r="M76" s="15">
        <f t="shared" si="70"/>
        <v>0.04</v>
      </c>
      <c r="N76" s="15">
        <f t="shared" si="70"/>
        <v>0.04</v>
      </c>
      <c r="O76" s="15">
        <f t="shared" si="70"/>
        <v>0.04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ht="13.2" hidden="1">
      <c r="A77" s="23"/>
      <c r="B77" s="23" t="s">
        <v>49</v>
      </c>
      <c r="C77" s="23"/>
      <c r="D77" s="23"/>
      <c r="E77" s="23">
        <f t="shared" ref="E77:G77" si="71">E23</f>
        <v>55</v>
      </c>
      <c r="F77" s="23">
        <f t="shared" si="71"/>
        <v>87</v>
      </c>
      <c r="G77" s="23">
        <f t="shared" si="71"/>
        <v>104</v>
      </c>
      <c r="H77" s="23">
        <f>65+71</f>
        <v>136</v>
      </c>
      <c r="I77" s="23">
        <f>57+61</f>
        <v>118</v>
      </c>
      <c r="J77" s="23">
        <f>46+56</f>
        <v>102</v>
      </c>
      <c r="K77" s="24">
        <f t="shared" ref="K77:O77" si="72">K78*K18</f>
        <v>105.56000000000002</v>
      </c>
      <c r="L77" s="23">
        <f t="shared" si="72"/>
        <v>109.78240000000001</v>
      </c>
      <c r="M77" s="23">
        <f t="shared" si="72"/>
        <v>114.17369600000002</v>
      </c>
      <c r="N77" s="23">
        <f t="shared" si="72"/>
        <v>118.74064384000003</v>
      </c>
      <c r="O77" s="23">
        <f t="shared" si="72"/>
        <v>123.49026959360003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13.2" hidden="1">
      <c r="A78" s="20"/>
      <c r="B78" s="59" t="s">
        <v>48</v>
      </c>
      <c r="C78" s="20"/>
      <c r="D78" s="20"/>
      <c r="E78" s="15">
        <f t="shared" ref="E78:J78" si="73">E77/E18</f>
        <v>3.6642238507661559E-2</v>
      </c>
      <c r="F78" s="15">
        <f t="shared" si="73"/>
        <v>4.1786743515850142E-2</v>
      </c>
      <c r="G78" s="15">
        <f t="shared" si="73"/>
        <v>4.4635193133047209E-2</v>
      </c>
      <c r="H78" s="15">
        <f t="shared" si="73"/>
        <v>6.9246435845213852E-2</v>
      </c>
      <c r="I78" s="15">
        <f t="shared" si="73"/>
        <v>6.1139896373056994E-2</v>
      </c>
      <c r="J78" s="15">
        <f t="shared" si="73"/>
        <v>5.024630541871921E-2</v>
      </c>
      <c r="K78" s="60">
        <f t="shared" ref="K78:O78" si="74">K24</f>
        <v>0.05</v>
      </c>
      <c r="L78" s="61">
        <f t="shared" si="74"/>
        <v>0.05</v>
      </c>
      <c r="M78" s="61">
        <f t="shared" si="74"/>
        <v>0.05</v>
      </c>
      <c r="N78" s="61">
        <f t="shared" si="74"/>
        <v>0.05</v>
      </c>
      <c r="O78" s="61">
        <f t="shared" si="74"/>
        <v>0.05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ht="13.2">
      <c r="B79" s="4" t="s">
        <v>50</v>
      </c>
      <c r="E79" s="23">
        <f t="shared" ref="E79:O79" si="75">E75+E77</f>
        <v>67</v>
      </c>
      <c r="F79" s="23">
        <f t="shared" si="75"/>
        <v>106</v>
      </c>
      <c r="G79" s="23">
        <f t="shared" si="75"/>
        <v>137</v>
      </c>
      <c r="H79" s="23">
        <f t="shared" si="75"/>
        <v>255</v>
      </c>
      <c r="I79" s="23">
        <f t="shared" si="75"/>
        <v>192</v>
      </c>
      <c r="J79" s="23">
        <f t="shared" si="75"/>
        <v>295</v>
      </c>
      <c r="K79" s="24">
        <f t="shared" si="75"/>
        <v>299.54000000000002</v>
      </c>
      <c r="L79" s="23">
        <f t="shared" si="75"/>
        <v>315.40120000000002</v>
      </c>
      <c r="M79" s="23">
        <f t="shared" si="75"/>
        <v>332.12962400000004</v>
      </c>
      <c r="N79" s="23">
        <f t="shared" si="75"/>
        <v>349.77392752000009</v>
      </c>
      <c r="O79" s="23">
        <f t="shared" si="75"/>
        <v>368.3855502944001</v>
      </c>
    </row>
    <row r="80" spans="1:30" ht="13.2">
      <c r="B80" s="4" t="s">
        <v>51</v>
      </c>
      <c r="E80" s="25">
        <f t="shared" ref="E80:O80" si="76">E79/E48</f>
        <v>2.1996060407091268E-2</v>
      </c>
      <c r="F80" s="25">
        <f t="shared" si="76"/>
        <v>2.8433476394849784E-2</v>
      </c>
      <c r="G80" s="25">
        <f t="shared" si="76"/>
        <v>3.3479960899315736E-2</v>
      </c>
      <c r="H80" s="25">
        <f t="shared" si="76"/>
        <v>7.1090047393364927E-2</v>
      </c>
      <c r="I80" s="25">
        <f t="shared" si="76"/>
        <v>4.8730964467005075E-2</v>
      </c>
      <c r="J80" s="25">
        <f t="shared" si="76"/>
        <v>4.4983226593473619E-2</v>
      </c>
      <c r="K80" s="26">
        <f t="shared" si="76"/>
        <v>4.3344379006468231E-2</v>
      </c>
      <c r="L80" s="27">
        <f t="shared" si="76"/>
        <v>4.1895703639501063E-2</v>
      </c>
      <c r="M80" s="27">
        <f t="shared" si="76"/>
        <v>4.1439783796281791E-2</v>
      </c>
      <c r="N80" s="27">
        <f t="shared" si="76"/>
        <v>4.0983706781108929E-2</v>
      </c>
      <c r="O80" s="27">
        <f t="shared" si="76"/>
        <v>4.0670991219754149E-2</v>
      </c>
    </row>
    <row r="81" spans="1:30" ht="13.2" hidden="1">
      <c r="B81" s="4" t="s">
        <v>52</v>
      </c>
      <c r="E81" s="23">
        <f t="shared" ref="E81:O81" si="77">E11</f>
        <v>6</v>
      </c>
      <c r="F81" s="23">
        <f t="shared" si="77"/>
        <v>9</v>
      </c>
      <c r="G81" s="23">
        <f t="shared" si="77"/>
        <v>5</v>
      </c>
      <c r="H81" s="23">
        <f t="shared" si="77"/>
        <v>2</v>
      </c>
      <c r="I81" s="23">
        <f t="shared" si="77"/>
        <v>6</v>
      </c>
      <c r="J81" s="23">
        <f t="shared" si="77"/>
        <v>25</v>
      </c>
      <c r="K81" s="24">
        <f t="shared" si="77"/>
        <v>24.247500000000002</v>
      </c>
      <c r="L81" s="23">
        <f t="shared" si="77"/>
        <v>25.702350000000003</v>
      </c>
      <c r="M81" s="23">
        <f t="shared" si="77"/>
        <v>27.244491000000004</v>
      </c>
      <c r="N81" s="23">
        <f t="shared" si="77"/>
        <v>28.879160460000005</v>
      </c>
      <c r="O81" s="23">
        <f t="shared" si="77"/>
        <v>30.611910087600005</v>
      </c>
    </row>
    <row r="82" spans="1:30" ht="13.2" hidden="1">
      <c r="B82" s="59" t="s">
        <v>48</v>
      </c>
      <c r="E82" s="25">
        <f t="shared" ref="E82:O82" si="78">E12</f>
        <v>3.7476577139287947E-3</v>
      </c>
      <c r="F82" s="25">
        <f t="shared" si="78"/>
        <v>5.2785923753665689E-3</v>
      </c>
      <c r="G82" s="25">
        <f t="shared" si="78"/>
        <v>2.8137310073157004E-3</v>
      </c>
      <c r="H82" s="25">
        <f t="shared" si="78"/>
        <v>1.2202562538133007E-3</v>
      </c>
      <c r="I82" s="25">
        <f t="shared" si="78"/>
        <v>2.8846153846153848E-3</v>
      </c>
      <c r="J82" s="25">
        <f t="shared" si="78"/>
        <v>5.4644808743169399E-3</v>
      </c>
      <c r="K82" s="29">
        <f t="shared" si="78"/>
        <v>5.0000000000000001E-3</v>
      </c>
      <c r="L82" s="25">
        <f t="shared" si="78"/>
        <v>5.0000000000000001E-3</v>
      </c>
      <c r="M82" s="25">
        <f t="shared" si="78"/>
        <v>5.0000000000000001E-3</v>
      </c>
      <c r="N82" s="25">
        <f t="shared" si="78"/>
        <v>5.0000000000000001E-3</v>
      </c>
      <c r="O82" s="25">
        <f t="shared" si="78"/>
        <v>5.0000000000000001E-3</v>
      </c>
    </row>
    <row r="83" spans="1:30" ht="13.2" hidden="1">
      <c r="B83" s="4" t="s">
        <v>53</v>
      </c>
      <c r="E83" s="23">
        <f t="shared" ref="E83:O83" si="79">E25</f>
        <v>26</v>
      </c>
      <c r="F83" s="23">
        <f t="shared" si="79"/>
        <v>64</v>
      </c>
      <c r="G83" s="23">
        <f t="shared" si="79"/>
        <v>58</v>
      </c>
      <c r="H83" s="23">
        <f t="shared" si="79"/>
        <v>34</v>
      </c>
      <c r="I83" s="23">
        <f t="shared" si="79"/>
        <v>48</v>
      </c>
      <c r="J83" s="23">
        <f t="shared" si="79"/>
        <v>49</v>
      </c>
      <c r="K83" s="24">
        <f t="shared" si="79"/>
        <v>52.780000000000008</v>
      </c>
      <c r="L83" s="23">
        <f t="shared" si="79"/>
        <v>54.891200000000005</v>
      </c>
      <c r="M83" s="23">
        <f t="shared" si="79"/>
        <v>57.08684800000001</v>
      </c>
      <c r="N83" s="23">
        <f t="shared" si="79"/>
        <v>59.370321920000016</v>
      </c>
      <c r="O83" s="23">
        <f t="shared" si="79"/>
        <v>61.745134796800016</v>
      </c>
    </row>
    <row r="84" spans="1:30" ht="13.2" hidden="1">
      <c r="B84" s="59" t="s">
        <v>48</v>
      </c>
      <c r="E84" s="25">
        <f>E83/E18</f>
        <v>1.7321785476349102E-2</v>
      </c>
      <c r="F84" s="25">
        <f t="shared" ref="F84:O84" si="80">F26</f>
        <v>3.073967339097022E-2</v>
      </c>
      <c r="G84" s="25">
        <f t="shared" si="80"/>
        <v>2.4892703862660945E-2</v>
      </c>
      <c r="H84" s="25">
        <f t="shared" si="80"/>
        <v>1.7311608961303463E-2</v>
      </c>
      <c r="I84" s="25">
        <f t="shared" si="80"/>
        <v>2.4870466321243522E-2</v>
      </c>
      <c r="J84" s="25">
        <f t="shared" si="80"/>
        <v>2.4137931034482758E-2</v>
      </c>
      <c r="K84" s="29">
        <f t="shared" si="80"/>
        <v>2.5000000000000001E-2</v>
      </c>
      <c r="L84" s="25">
        <f t="shared" si="80"/>
        <v>2.5000000000000001E-2</v>
      </c>
      <c r="M84" s="25">
        <f t="shared" si="80"/>
        <v>2.5000000000000001E-2</v>
      </c>
      <c r="N84" s="25">
        <f t="shared" si="80"/>
        <v>2.5000000000000001E-2</v>
      </c>
      <c r="O84" s="25">
        <f t="shared" si="80"/>
        <v>2.5000000000000001E-2</v>
      </c>
    </row>
    <row r="85" spans="1:30" ht="13.2">
      <c r="K85" s="1"/>
    </row>
    <row r="86" spans="1:30" ht="13.2">
      <c r="B86" s="4" t="s">
        <v>54</v>
      </c>
      <c r="E86" s="23">
        <f t="shared" ref="E86:O86" si="81">E83+E81</f>
        <v>32</v>
      </c>
      <c r="F86" s="23">
        <f t="shared" si="81"/>
        <v>73</v>
      </c>
      <c r="G86" s="23">
        <f t="shared" si="81"/>
        <v>63</v>
      </c>
      <c r="H86" s="23">
        <f t="shared" si="81"/>
        <v>36</v>
      </c>
      <c r="I86" s="23">
        <f t="shared" si="81"/>
        <v>54</v>
      </c>
      <c r="J86" s="23">
        <f t="shared" si="81"/>
        <v>74</v>
      </c>
      <c r="K86" s="24">
        <f t="shared" si="81"/>
        <v>77.027500000000003</v>
      </c>
      <c r="L86" s="23">
        <f t="shared" si="81"/>
        <v>80.593550000000008</v>
      </c>
      <c r="M86" s="23">
        <f t="shared" si="81"/>
        <v>84.331339000000014</v>
      </c>
      <c r="N86" s="23">
        <f t="shared" si="81"/>
        <v>88.249482380000018</v>
      </c>
      <c r="O86" s="23">
        <f t="shared" si="81"/>
        <v>92.357044884400025</v>
      </c>
    </row>
    <row r="87" spans="1:30" ht="13.2">
      <c r="A87" s="25"/>
      <c r="B87" s="25" t="s">
        <v>51</v>
      </c>
      <c r="C87" s="25"/>
      <c r="D87" s="25"/>
      <c r="E87" s="25">
        <f t="shared" ref="E87:O87" si="82">E86/E48</f>
        <v>1.0505581089954037E-2</v>
      </c>
      <c r="F87" s="25">
        <f t="shared" si="82"/>
        <v>1.9581545064377683E-2</v>
      </c>
      <c r="G87" s="25">
        <f t="shared" si="82"/>
        <v>1.5395894428152493E-2</v>
      </c>
      <c r="H87" s="25">
        <f t="shared" si="82"/>
        <v>1.0036241984945637E-2</v>
      </c>
      <c r="I87" s="25">
        <f t="shared" si="82"/>
        <v>1.3705583756345178E-2</v>
      </c>
      <c r="J87" s="25">
        <f t="shared" si="82"/>
        <v>1.1283928026837451E-2</v>
      </c>
      <c r="K87" s="26">
        <f t="shared" si="82"/>
        <v>1.1146121232291953E-2</v>
      </c>
      <c r="L87" s="27">
        <f t="shared" si="82"/>
        <v>1.0705487125779201E-2</v>
      </c>
      <c r="M87" s="27">
        <f t="shared" si="82"/>
        <v>1.052201370453768E-2</v>
      </c>
      <c r="N87" s="27">
        <f t="shared" si="82"/>
        <v>1.0340367376981669E-2</v>
      </c>
      <c r="O87" s="27">
        <f t="shared" si="82"/>
        <v>1.0196525239858119E-2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13.2">
      <c r="B88" s="4"/>
      <c r="K88" s="1"/>
    </row>
    <row r="89" spans="1:30" ht="13.2">
      <c r="B89" s="4" t="s">
        <v>55</v>
      </c>
      <c r="K89" s="24">
        <f t="shared" ref="K89:O89" si="83">K90*K48</f>
        <v>172.76750000000004</v>
      </c>
      <c r="L89" s="23">
        <f t="shared" si="83"/>
        <v>188.20617187500002</v>
      </c>
      <c r="M89" s="23">
        <f t="shared" si="83"/>
        <v>200.36882047500004</v>
      </c>
      <c r="N89" s="23">
        <f t="shared" si="83"/>
        <v>213.36157402020626</v>
      </c>
      <c r="O89" s="23">
        <f t="shared" si="83"/>
        <v>226.44244659783027</v>
      </c>
    </row>
    <row r="90" spans="1:30" ht="13.2">
      <c r="B90" s="4" t="s">
        <v>51</v>
      </c>
      <c r="K90" s="26">
        <v>2.5000000000000001E-2</v>
      </c>
      <c r="L90" s="27">
        <v>2.5000000000000001E-2</v>
      </c>
      <c r="M90" s="27">
        <v>2.5000000000000001E-2</v>
      </c>
      <c r="N90" s="27">
        <v>2.5000000000000001E-2</v>
      </c>
      <c r="O90" s="27">
        <v>2.5000000000000001E-2</v>
      </c>
    </row>
    <row r="91" spans="1:30" ht="13.2">
      <c r="B91" s="4" t="s">
        <v>56</v>
      </c>
      <c r="K91" s="1"/>
      <c r="L91" s="23">
        <f t="shared" ref="L91:O91" si="84">L89-K89</f>
        <v>15.438671874999983</v>
      </c>
      <c r="M91" s="23">
        <f t="shared" si="84"/>
        <v>12.162648600000011</v>
      </c>
      <c r="N91" s="23">
        <f t="shared" si="84"/>
        <v>12.992753545206227</v>
      </c>
      <c r="O91" s="23">
        <f t="shared" si="84"/>
        <v>13.080872577624007</v>
      </c>
    </row>
    <row r="92" spans="1:30" ht="13.2">
      <c r="K92" s="1"/>
    </row>
    <row r="93" spans="1:30" ht="13.2">
      <c r="B93" s="4" t="s">
        <v>57</v>
      </c>
      <c r="E93" s="23">
        <f t="shared" ref="E93:J93" si="85">E74+E75+E77-E81-E83+E89</f>
        <v>150</v>
      </c>
      <c r="F93" s="23">
        <f t="shared" si="85"/>
        <v>185</v>
      </c>
      <c r="G93" s="23">
        <f t="shared" si="85"/>
        <v>6</v>
      </c>
      <c r="H93" s="23">
        <f t="shared" si="85"/>
        <v>84</v>
      </c>
      <c r="I93" s="23">
        <f t="shared" si="85"/>
        <v>242</v>
      </c>
      <c r="J93" s="23">
        <f t="shared" si="85"/>
        <v>363</v>
      </c>
      <c r="K93" s="24">
        <f t="shared" ref="K93:O93" si="86">K74+K75+K77-K81-K83-K91</f>
        <v>495.96073000000018</v>
      </c>
      <c r="L93" s="23">
        <f t="shared" si="86"/>
        <v>626.65391065000006</v>
      </c>
      <c r="M93" s="23">
        <f t="shared" si="86"/>
        <v>779.6443244671002</v>
      </c>
      <c r="N93" s="23">
        <f t="shared" si="86"/>
        <v>877.21753123567089</v>
      </c>
      <c r="O93" s="23">
        <f t="shared" si="86"/>
        <v>978.05582529588332</v>
      </c>
    </row>
    <row r="94" spans="1:30" ht="13.2">
      <c r="B94" s="4" t="s">
        <v>58</v>
      </c>
      <c r="E94" s="25">
        <f t="shared" ref="E94:O94" si="87">E93/E48</f>
        <v>4.9244911359159552E-2</v>
      </c>
      <c r="F94" s="25">
        <f t="shared" si="87"/>
        <v>4.9624463519313301E-2</v>
      </c>
      <c r="G94" s="25">
        <f t="shared" si="87"/>
        <v>1.4662756598240469E-3</v>
      </c>
      <c r="H94" s="25">
        <f t="shared" si="87"/>
        <v>2.3417897964873154E-2</v>
      </c>
      <c r="I94" s="25">
        <f t="shared" si="87"/>
        <v>6.1421319796954317E-2</v>
      </c>
      <c r="J94" s="25">
        <f t="shared" si="87"/>
        <v>5.5352241537053981E-2</v>
      </c>
      <c r="K94" s="29">
        <f t="shared" si="87"/>
        <v>7.1767075694213339E-2</v>
      </c>
      <c r="L94" s="25">
        <f t="shared" si="87"/>
        <v>8.3240350782199879E-2</v>
      </c>
      <c r="M94" s="25">
        <f t="shared" si="87"/>
        <v>9.7276153372921642E-2</v>
      </c>
      <c r="N94" s="25">
        <f t="shared" si="87"/>
        <v>0.10278532290362118</v>
      </c>
      <c r="O94" s="25">
        <f t="shared" si="87"/>
        <v>0.10798061935721627</v>
      </c>
    </row>
    <row r="95" spans="1:30" ht="13.2">
      <c r="B95" s="4" t="s">
        <v>59</v>
      </c>
      <c r="F95" s="25">
        <f t="shared" ref="F95:O95" si="88">(F93-E93)/(F48-E48)</f>
        <v>5.1319648093841645E-2</v>
      </c>
      <c r="G95" s="25">
        <f t="shared" si="88"/>
        <v>-0.49175824175824173</v>
      </c>
      <c r="H95" s="25">
        <f t="shared" si="88"/>
        <v>-0.15445544554455445</v>
      </c>
      <c r="I95" s="25">
        <f t="shared" si="88"/>
        <v>0.44759206798866857</v>
      </c>
      <c r="J95" s="25">
        <f t="shared" si="88"/>
        <v>4.6218487394957986E-2</v>
      </c>
      <c r="K95" s="29">
        <f t="shared" si="88"/>
        <v>0.3769796711085906</v>
      </c>
      <c r="L95" s="25">
        <f t="shared" si="88"/>
        <v>0.21163281030286143</v>
      </c>
      <c r="M95" s="25">
        <f t="shared" si="88"/>
        <v>0.31446771761764952</v>
      </c>
      <c r="N95" s="25">
        <f t="shared" si="88"/>
        <v>0.18774543523257048</v>
      </c>
      <c r="O95" s="25">
        <f t="shared" si="88"/>
        <v>0.19272088590004571</v>
      </c>
    </row>
    <row r="96" spans="1:30" ht="13.2">
      <c r="K96" s="1"/>
    </row>
    <row r="97" spans="1:30" ht="13.2">
      <c r="B97" s="4" t="s">
        <v>60</v>
      </c>
      <c r="H97" s="55">
        <f t="shared" ref="H97:O97" si="89">H93/H72</f>
        <v>0.49704142011834318</v>
      </c>
      <c r="I97" s="55">
        <f t="shared" si="89"/>
        <v>1.174757281553398</v>
      </c>
      <c r="J97" s="55">
        <f t="shared" si="89"/>
        <v>1.5579399141630901</v>
      </c>
      <c r="K97" s="56">
        <f t="shared" si="89"/>
        <v>1.9893334804059211</v>
      </c>
      <c r="L97" s="55">
        <f t="shared" si="89"/>
        <v>2.3712764613351722</v>
      </c>
      <c r="M97" s="55">
        <f t="shared" si="89"/>
        <v>2.8097110449534344</v>
      </c>
      <c r="N97" s="55">
        <f t="shared" si="89"/>
        <v>3.0397586302035999</v>
      </c>
      <c r="O97" s="55">
        <f t="shared" si="89"/>
        <v>3.2904721323588877</v>
      </c>
    </row>
    <row r="98" spans="1:30" ht="13.2">
      <c r="B98" s="4" t="s">
        <v>61</v>
      </c>
      <c r="K98" s="1"/>
      <c r="M98" s="58">
        <f>M108/M97</f>
        <v>12.765173552157977</v>
      </c>
    </row>
    <row r="99" spans="1:30" ht="13.2">
      <c r="K99" s="1"/>
    </row>
    <row r="100" spans="1:30" ht="13.2">
      <c r="K100" s="1"/>
    </row>
    <row r="101" spans="1:30" ht="13.2">
      <c r="K101" s="1"/>
    </row>
    <row r="102" spans="1:30" ht="13.2">
      <c r="B102" s="4" t="s">
        <v>24</v>
      </c>
      <c r="C102" s="23">
        <f t="shared" ref="C102:L102" si="90">C58+C75+C77</f>
        <v>112</v>
      </c>
      <c r="D102" s="23">
        <f t="shared" si="90"/>
        <v>106</v>
      </c>
      <c r="E102" s="23">
        <f t="shared" si="90"/>
        <v>190</v>
      </c>
      <c r="F102" s="23">
        <f t="shared" si="90"/>
        <v>268</v>
      </c>
      <c r="G102" s="23">
        <f t="shared" si="90"/>
        <v>78</v>
      </c>
      <c r="H102" s="23">
        <f t="shared" si="90"/>
        <v>89</v>
      </c>
      <c r="I102" s="23">
        <f t="shared" si="90"/>
        <v>328</v>
      </c>
      <c r="J102" s="23">
        <f t="shared" si="90"/>
        <v>457</v>
      </c>
      <c r="K102" s="24">
        <f t="shared" si="90"/>
        <v>645.67700000000013</v>
      </c>
      <c r="L102" s="23">
        <f t="shared" si="90"/>
        <v>830.95174750000001</v>
      </c>
      <c r="M102" s="23">
        <f>M58+M79</f>
        <v>1020.7482164900001</v>
      </c>
      <c r="N102" s="23">
        <f t="shared" ref="N102:O102" si="91">N58+N75+N77</f>
        <v>1145.5787878249077</v>
      </c>
      <c r="O102" s="23">
        <f t="shared" si="91"/>
        <v>1273.585793919093</v>
      </c>
    </row>
    <row r="103" spans="1:30" ht="13.2">
      <c r="A103" s="20"/>
      <c r="B103" s="20" t="s">
        <v>23</v>
      </c>
      <c r="C103" s="15">
        <f t="shared" ref="C103:O103" si="92">C102/C48</f>
        <v>4.5732952225398124E-2</v>
      </c>
      <c r="D103" s="15">
        <f t="shared" si="92"/>
        <v>4.0644171779141106E-2</v>
      </c>
      <c r="E103" s="15">
        <f t="shared" si="92"/>
        <v>6.2376887721602103E-2</v>
      </c>
      <c r="F103" s="15">
        <f t="shared" si="92"/>
        <v>7.1888412017167377E-2</v>
      </c>
      <c r="G103" s="15">
        <f t="shared" si="92"/>
        <v>1.906158357771261E-2</v>
      </c>
      <c r="H103" s="15">
        <f t="shared" si="92"/>
        <v>2.4811820462782269E-2</v>
      </c>
      <c r="I103" s="15">
        <f t="shared" si="92"/>
        <v>8.3248730964466999E-2</v>
      </c>
      <c r="J103" s="15">
        <f t="shared" si="92"/>
        <v>6.9685879841415069E-2</v>
      </c>
      <c r="K103" s="21">
        <f t="shared" si="92"/>
        <v>9.3431490297654365E-2</v>
      </c>
      <c r="L103" s="15">
        <f t="shared" si="92"/>
        <v>0.1103778557341745</v>
      </c>
      <c r="M103" s="15">
        <f t="shared" si="92"/>
        <v>0.12735866464530077</v>
      </c>
      <c r="N103" s="15">
        <f t="shared" si="92"/>
        <v>0.13422974510354152</v>
      </c>
      <c r="O103" s="15">
        <f t="shared" si="92"/>
        <v>0.14060811180213775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ht="13.2">
      <c r="B104" s="4" t="s">
        <v>62</v>
      </c>
      <c r="K104" s="1"/>
      <c r="M104" s="62">
        <v>12</v>
      </c>
    </row>
    <row r="105" spans="1:30" ht="13.2">
      <c r="B105" s="4" t="s">
        <v>63</v>
      </c>
      <c r="H105" s="63"/>
      <c r="I105" s="63"/>
      <c r="J105" s="64"/>
      <c r="K105" s="65"/>
      <c r="L105" s="64"/>
      <c r="M105" s="23">
        <f>M102*M104</f>
        <v>12248.978597880001</v>
      </c>
      <c r="N105" s="63"/>
      <c r="O105" s="63"/>
    </row>
    <row r="106" spans="1:30" ht="13.2">
      <c r="B106" s="4" t="s">
        <v>64</v>
      </c>
      <c r="J106" s="23">
        <v>2789</v>
      </c>
      <c r="K106" s="24">
        <f>J106-206</f>
        <v>2583</v>
      </c>
      <c r="L106" s="23">
        <f>K106-200</f>
        <v>2383</v>
      </c>
      <c r="M106" s="23">
        <f>M102*2.25</f>
        <v>2296.6834871025003</v>
      </c>
      <c r="N106" s="23">
        <f t="shared" ref="N106:O106" si="93">N102*2</f>
        <v>2291.1575756498155</v>
      </c>
      <c r="O106" s="23">
        <f t="shared" si="93"/>
        <v>2547.171587838186</v>
      </c>
    </row>
    <row r="107" spans="1:30" ht="13.2">
      <c r="B107" s="4" t="s">
        <v>65</v>
      </c>
      <c r="K107" s="1"/>
      <c r="M107" s="23">
        <f>M105-M106</f>
        <v>9952.2951107775007</v>
      </c>
    </row>
    <row r="108" spans="1:30" ht="13.2">
      <c r="B108" s="4" t="s">
        <v>66</v>
      </c>
      <c r="C108" s="66">
        <f ca="1">IFERROR(__xludf.DUMMYFUNCTION("GOOGLEFINANCE(B2)"),20.91)</f>
        <v>20.91</v>
      </c>
      <c r="K108" s="1"/>
      <c r="M108" s="110">
        <f>M107/M72</f>
        <v>35.866449120245733</v>
      </c>
    </row>
    <row r="109" spans="1:30" ht="13.2">
      <c r="B109" s="4" t="s">
        <v>67</v>
      </c>
      <c r="C109" s="67">
        <f ca="1">(M108/C108)^(1/2.75)-1</f>
        <v>0.21678119938254947</v>
      </c>
      <c r="K109" s="1"/>
    </row>
    <row r="110" spans="1:30" ht="13.2">
      <c r="K110" s="1"/>
    </row>
    <row r="111" spans="1:30" ht="13.2">
      <c r="K111" s="1"/>
    </row>
    <row r="112" spans="1:30" ht="13.2">
      <c r="K112" s="1"/>
    </row>
    <row r="113" spans="11:15" ht="13.2">
      <c r="K113" s="1"/>
    </row>
    <row r="114" spans="11:15" ht="13.2">
      <c r="K114" s="1"/>
    </row>
    <row r="115" spans="11:15" ht="13.2">
      <c r="K115" s="1"/>
    </row>
    <row r="116" spans="11:15" ht="13.2">
      <c r="K116" s="1"/>
    </row>
    <row r="117" spans="11:15" ht="13.2">
      <c r="K117" s="1"/>
    </row>
    <row r="118" spans="11:15" ht="13.2">
      <c r="K118" s="1"/>
    </row>
    <row r="119" spans="11:15" ht="13.2">
      <c r="K119" s="1"/>
    </row>
    <row r="120" spans="11:15" ht="13.2">
      <c r="K120" s="1"/>
    </row>
    <row r="121" spans="11:15" ht="13.2">
      <c r="K121" s="1"/>
    </row>
    <row r="122" spans="11:15" ht="13.2">
      <c r="K122" s="1"/>
    </row>
    <row r="123" spans="11:15" ht="13.2">
      <c r="K123" s="1"/>
    </row>
    <row r="124" spans="11:15" ht="13.2">
      <c r="K124" s="1"/>
    </row>
    <row r="125" spans="11:15" ht="13.2">
      <c r="K125" s="1"/>
    </row>
    <row r="126" spans="11:15" ht="13.2">
      <c r="K126" s="1"/>
    </row>
    <row r="127" spans="11:15" ht="13.2">
      <c r="K127" s="44"/>
      <c r="L127" s="45"/>
      <c r="M127" s="45"/>
      <c r="N127" s="45"/>
      <c r="O127" s="45"/>
    </row>
    <row r="128" spans="11:15" ht="13.2">
      <c r="K128" s="1"/>
    </row>
    <row r="129" spans="11:15" ht="13.2">
      <c r="K129" s="1"/>
    </row>
    <row r="130" spans="11:15" ht="13.2">
      <c r="K130" s="1"/>
    </row>
    <row r="131" spans="11:15" ht="13.2">
      <c r="K131" s="111"/>
      <c r="L131" s="63"/>
      <c r="M131" s="63"/>
      <c r="N131" s="63"/>
      <c r="O131" s="63"/>
    </row>
    <row r="132" spans="11:15" ht="13.2">
      <c r="K132" s="1"/>
    </row>
    <row r="133" spans="11:15" ht="13.2">
      <c r="K133" s="1"/>
    </row>
    <row r="134" spans="11:15" ht="13.2">
      <c r="K134" s="1"/>
    </row>
    <row r="135" spans="11:15" ht="13.2">
      <c r="K135" s="1"/>
    </row>
    <row r="136" spans="11:15" ht="13.2">
      <c r="K136" s="1"/>
    </row>
    <row r="137" spans="11:15" ht="13.2">
      <c r="K137" s="1"/>
    </row>
    <row r="138" spans="11:15" ht="13.2">
      <c r="K138" s="1"/>
    </row>
    <row r="139" spans="11:15" ht="13.2">
      <c r="K139" s="1"/>
    </row>
    <row r="140" spans="11:15" ht="13.2">
      <c r="K140" s="1"/>
    </row>
    <row r="141" spans="11:15" ht="13.2">
      <c r="K141" s="1"/>
    </row>
    <row r="142" spans="11:15" ht="13.2">
      <c r="K142" s="1"/>
    </row>
    <row r="143" spans="11:15" ht="13.2">
      <c r="K143" s="1"/>
    </row>
    <row r="144" spans="11:15" ht="13.2">
      <c r="K144" s="1"/>
    </row>
    <row r="145" spans="11:11" ht="13.2">
      <c r="K145" s="1"/>
    </row>
    <row r="146" spans="11:11" ht="13.2">
      <c r="K146" s="1"/>
    </row>
    <row r="147" spans="11:11" ht="13.2">
      <c r="K147" s="1"/>
    </row>
    <row r="148" spans="11:11" ht="13.2">
      <c r="K148" s="1"/>
    </row>
    <row r="149" spans="11:11" ht="13.2">
      <c r="K149" s="1"/>
    </row>
    <row r="150" spans="11:11" ht="13.2">
      <c r="K150" s="1"/>
    </row>
    <row r="151" spans="11:11" ht="13.2">
      <c r="K151" s="1"/>
    </row>
    <row r="152" spans="11:11" ht="13.2">
      <c r="K152" s="1"/>
    </row>
    <row r="153" spans="11:11" ht="13.2">
      <c r="K153" s="1"/>
    </row>
    <row r="154" spans="11:11" ht="13.2">
      <c r="K154" s="1"/>
    </row>
    <row r="155" spans="11:11" ht="13.2">
      <c r="K155" s="1"/>
    </row>
    <row r="156" spans="11:11" ht="13.2">
      <c r="K156" s="1"/>
    </row>
    <row r="157" spans="11:11" ht="13.2">
      <c r="K157" s="1"/>
    </row>
    <row r="158" spans="11:11" ht="13.2">
      <c r="K158" s="1"/>
    </row>
    <row r="159" spans="11:11" ht="13.2">
      <c r="K159" s="1"/>
    </row>
    <row r="160" spans="11:11" ht="13.2">
      <c r="K160" s="1"/>
    </row>
    <row r="161" spans="11:11" ht="13.2">
      <c r="K161" s="1"/>
    </row>
    <row r="162" spans="11:11" ht="13.2">
      <c r="K162" s="1"/>
    </row>
    <row r="163" spans="11:11" ht="13.2">
      <c r="K163" s="1"/>
    </row>
    <row r="164" spans="11:11" ht="13.2">
      <c r="K164" s="1"/>
    </row>
    <row r="165" spans="11:11" ht="13.2">
      <c r="K165" s="1"/>
    </row>
    <row r="166" spans="11:11" ht="13.2">
      <c r="K166" s="1"/>
    </row>
    <row r="167" spans="11:11" ht="13.2">
      <c r="K167" s="1"/>
    </row>
    <row r="168" spans="11:11" ht="13.2">
      <c r="K168" s="1"/>
    </row>
    <row r="169" spans="11:11" ht="13.2">
      <c r="K169" s="1"/>
    </row>
    <row r="170" spans="11:11" ht="13.2">
      <c r="K170" s="1"/>
    </row>
    <row r="171" spans="11:11" ht="13.2">
      <c r="K171" s="1"/>
    </row>
    <row r="172" spans="11:11" ht="13.2">
      <c r="K172" s="1"/>
    </row>
    <row r="173" spans="11:11" ht="13.2">
      <c r="K173" s="1"/>
    </row>
    <row r="174" spans="11:11" ht="13.2">
      <c r="K174" s="1"/>
    </row>
    <row r="175" spans="11:11" ht="13.2">
      <c r="K175" s="1"/>
    </row>
    <row r="176" spans="11:11" ht="13.2">
      <c r="K176" s="1"/>
    </row>
    <row r="177" spans="11:11" ht="13.2">
      <c r="K177" s="1"/>
    </row>
    <row r="178" spans="11:11" ht="13.2">
      <c r="K178" s="1"/>
    </row>
    <row r="179" spans="11:11" ht="13.2">
      <c r="K179" s="1"/>
    </row>
    <row r="180" spans="11:11" ht="13.2">
      <c r="K180" s="1"/>
    </row>
    <row r="181" spans="11:11" ht="13.2">
      <c r="K181" s="1"/>
    </row>
    <row r="182" spans="11:11" ht="13.2">
      <c r="K182" s="1"/>
    </row>
    <row r="183" spans="11:11" ht="13.2">
      <c r="K183" s="1"/>
    </row>
    <row r="184" spans="11:11" ht="13.2">
      <c r="K184" s="1"/>
    </row>
    <row r="185" spans="11:11" ht="13.2">
      <c r="K185" s="1"/>
    </row>
    <row r="186" spans="11:11" ht="13.2">
      <c r="K186" s="1"/>
    </row>
    <row r="187" spans="11:11" ht="13.2">
      <c r="K187" s="1"/>
    </row>
    <row r="188" spans="11:11" ht="13.2">
      <c r="K188" s="1"/>
    </row>
    <row r="189" spans="11:11" ht="13.2">
      <c r="K189" s="1"/>
    </row>
    <row r="190" spans="11:11" ht="13.2">
      <c r="K190" s="1"/>
    </row>
    <row r="191" spans="11:11" ht="13.2">
      <c r="K191" s="1"/>
    </row>
    <row r="192" spans="11:11" ht="13.2">
      <c r="K192" s="1"/>
    </row>
    <row r="193" spans="11:11" ht="13.2">
      <c r="K193" s="1"/>
    </row>
    <row r="194" spans="11:11" ht="13.2">
      <c r="K194" s="1"/>
    </row>
    <row r="195" spans="11:11" ht="13.2">
      <c r="K195" s="1"/>
    </row>
    <row r="196" spans="11:11" ht="13.2">
      <c r="K196" s="1"/>
    </row>
    <row r="197" spans="11:11" ht="13.2">
      <c r="K197" s="1"/>
    </row>
    <row r="198" spans="11:11" ht="13.2">
      <c r="K198" s="1"/>
    </row>
    <row r="199" spans="11:11" ht="13.2">
      <c r="K199" s="1"/>
    </row>
    <row r="200" spans="11:11" ht="13.2">
      <c r="K200" s="1"/>
    </row>
    <row r="201" spans="11:11" ht="13.2">
      <c r="K201" s="1"/>
    </row>
    <row r="202" spans="11:11" ht="13.2">
      <c r="K202" s="1"/>
    </row>
    <row r="203" spans="11:11" ht="13.2">
      <c r="K203" s="1"/>
    </row>
    <row r="204" spans="11:11" ht="13.2">
      <c r="K204" s="1"/>
    </row>
    <row r="205" spans="11:11" ht="13.2">
      <c r="K205" s="1"/>
    </row>
    <row r="206" spans="11:11" ht="13.2">
      <c r="K206" s="1"/>
    </row>
    <row r="207" spans="11:11" ht="13.2">
      <c r="K207" s="1"/>
    </row>
    <row r="208" spans="11:11" ht="13.2">
      <c r="K208" s="1"/>
    </row>
    <row r="209" spans="11:11" ht="13.2">
      <c r="K209" s="1"/>
    </row>
    <row r="210" spans="11:11" ht="13.2">
      <c r="K210" s="1"/>
    </row>
    <row r="211" spans="11:11" ht="13.2">
      <c r="K211" s="1"/>
    </row>
    <row r="212" spans="11:11" ht="13.2">
      <c r="K212" s="1"/>
    </row>
    <row r="213" spans="11:11" ht="13.2">
      <c r="K213" s="1"/>
    </row>
    <row r="214" spans="11:11" ht="13.2">
      <c r="K214" s="1"/>
    </row>
    <row r="215" spans="11:11" ht="13.2">
      <c r="K215" s="1"/>
    </row>
    <row r="216" spans="11:11" ht="13.2">
      <c r="K216" s="1"/>
    </row>
    <row r="217" spans="11:11" ht="13.2">
      <c r="K217" s="1"/>
    </row>
    <row r="218" spans="11:11" ht="13.2">
      <c r="K218" s="1"/>
    </row>
    <row r="219" spans="11:11" ht="13.2">
      <c r="K219" s="1"/>
    </row>
    <row r="220" spans="11:11" ht="13.2">
      <c r="K220" s="1"/>
    </row>
    <row r="221" spans="11:11" ht="13.2">
      <c r="K221" s="1"/>
    </row>
    <row r="222" spans="11:11" ht="13.2">
      <c r="K222" s="1"/>
    </row>
    <row r="223" spans="11:11" ht="13.2">
      <c r="K223" s="1"/>
    </row>
    <row r="224" spans="11:11" ht="13.2">
      <c r="K224" s="1"/>
    </row>
    <row r="225" spans="11:11" ht="13.2">
      <c r="K225" s="1"/>
    </row>
    <row r="226" spans="11:11" ht="13.2">
      <c r="K226" s="1"/>
    </row>
    <row r="227" spans="11:11" ht="13.2">
      <c r="K227" s="1"/>
    </row>
    <row r="228" spans="11:11" ht="13.2">
      <c r="K228" s="1"/>
    </row>
    <row r="229" spans="11:11" ht="13.2">
      <c r="K229" s="1"/>
    </row>
    <row r="230" spans="11:11" ht="13.2">
      <c r="K230" s="1"/>
    </row>
    <row r="231" spans="11:11" ht="13.2">
      <c r="K231" s="1"/>
    </row>
    <row r="232" spans="11:11" ht="13.2">
      <c r="K232" s="1"/>
    </row>
    <row r="233" spans="11:11" ht="13.2">
      <c r="K233" s="1"/>
    </row>
    <row r="234" spans="11:11" ht="13.2">
      <c r="K234" s="1"/>
    </row>
    <row r="235" spans="11:11" ht="13.2">
      <c r="K235" s="1"/>
    </row>
    <row r="236" spans="11:11" ht="13.2">
      <c r="K236" s="1"/>
    </row>
    <row r="237" spans="11:11" ht="13.2">
      <c r="K237" s="1"/>
    </row>
    <row r="238" spans="11:11" ht="13.2">
      <c r="K238" s="1"/>
    </row>
    <row r="239" spans="11:11" ht="13.2">
      <c r="K239" s="1"/>
    </row>
    <row r="240" spans="11:11" ht="13.2">
      <c r="K240" s="1"/>
    </row>
    <row r="241" spans="11:11" ht="13.2">
      <c r="K241" s="1"/>
    </row>
    <row r="242" spans="11:11" ht="13.2">
      <c r="K242" s="1"/>
    </row>
    <row r="243" spans="11:11" ht="13.2">
      <c r="K243" s="1"/>
    </row>
    <row r="244" spans="11:11" ht="13.2">
      <c r="K244" s="1"/>
    </row>
    <row r="245" spans="11:11" ht="13.2">
      <c r="K245" s="1"/>
    </row>
    <row r="246" spans="11:11" ht="13.2">
      <c r="K246" s="1"/>
    </row>
    <row r="247" spans="11:11" ht="13.2">
      <c r="K247" s="1"/>
    </row>
    <row r="248" spans="11:11" ht="13.2">
      <c r="K248" s="1"/>
    </row>
    <row r="249" spans="11:11" ht="13.2">
      <c r="K249" s="1"/>
    </row>
    <row r="250" spans="11:11" ht="13.2">
      <c r="K250" s="1"/>
    </row>
    <row r="251" spans="11:11" ht="13.2">
      <c r="K251" s="1"/>
    </row>
    <row r="252" spans="11:11" ht="13.2">
      <c r="K252" s="1"/>
    </row>
    <row r="253" spans="11:11" ht="13.2">
      <c r="K253" s="1"/>
    </row>
    <row r="254" spans="11:11" ht="13.2">
      <c r="K254" s="1"/>
    </row>
    <row r="255" spans="11:11" ht="13.2">
      <c r="K255" s="1"/>
    </row>
    <row r="256" spans="11:11" ht="13.2">
      <c r="K256" s="1"/>
    </row>
    <row r="257" spans="11:11" ht="13.2">
      <c r="K257" s="1"/>
    </row>
    <row r="258" spans="11:11" ht="13.2">
      <c r="K258" s="1"/>
    </row>
    <row r="259" spans="11:11" ht="13.2">
      <c r="K259" s="1"/>
    </row>
    <row r="260" spans="11:11" ht="13.2">
      <c r="K260" s="1"/>
    </row>
    <row r="261" spans="11:11" ht="13.2">
      <c r="K261" s="1"/>
    </row>
    <row r="262" spans="11:11" ht="13.2">
      <c r="K262" s="1"/>
    </row>
    <row r="263" spans="11:11" ht="13.2">
      <c r="K263" s="1"/>
    </row>
    <row r="264" spans="11:11" ht="13.2">
      <c r="K264" s="1"/>
    </row>
    <row r="265" spans="11:11" ht="13.2">
      <c r="K265" s="1"/>
    </row>
    <row r="266" spans="11:11" ht="13.2">
      <c r="K266" s="1"/>
    </row>
    <row r="267" spans="11:11" ht="13.2">
      <c r="K267" s="1"/>
    </row>
    <row r="268" spans="11:11" ht="13.2">
      <c r="K268" s="1"/>
    </row>
    <row r="269" spans="11:11" ht="13.2">
      <c r="K269" s="1"/>
    </row>
    <row r="270" spans="11:11" ht="13.2">
      <c r="K270" s="1"/>
    </row>
    <row r="271" spans="11:11" ht="13.2">
      <c r="K271" s="1"/>
    </row>
    <row r="272" spans="11:11" ht="13.2">
      <c r="K272" s="1"/>
    </row>
    <row r="273" spans="11:11" ht="13.2">
      <c r="K273" s="1"/>
    </row>
    <row r="274" spans="11:11" ht="13.2">
      <c r="K274" s="1"/>
    </row>
    <row r="275" spans="11:11" ht="13.2">
      <c r="K275" s="1"/>
    </row>
    <row r="276" spans="11:11" ht="13.2">
      <c r="K276" s="1"/>
    </row>
    <row r="277" spans="11:11" ht="13.2">
      <c r="K277" s="1"/>
    </row>
    <row r="278" spans="11:11" ht="13.2">
      <c r="K278" s="1"/>
    </row>
    <row r="279" spans="11:11" ht="13.2">
      <c r="K279" s="1"/>
    </row>
    <row r="280" spans="11:11" ht="13.2">
      <c r="K280" s="1"/>
    </row>
    <row r="281" spans="11:11" ht="13.2">
      <c r="K281" s="1"/>
    </row>
    <row r="282" spans="11:11" ht="13.2">
      <c r="K282" s="1"/>
    </row>
    <row r="283" spans="11:11" ht="13.2">
      <c r="K283" s="1"/>
    </row>
    <row r="284" spans="11:11" ht="13.2">
      <c r="K284" s="1"/>
    </row>
    <row r="285" spans="11:11" ht="13.2">
      <c r="K285" s="1"/>
    </row>
    <row r="286" spans="11:11" ht="13.2">
      <c r="K286" s="1"/>
    </row>
    <row r="287" spans="11:11" ht="13.2">
      <c r="K287" s="1"/>
    </row>
    <row r="288" spans="11:11" ht="13.2">
      <c r="K288" s="1"/>
    </row>
    <row r="289" spans="11:11" ht="13.2">
      <c r="K289" s="1"/>
    </row>
    <row r="290" spans="11:11" ht="13.2">
      <c r="K290" s="1"/>
    </row>
    <row r="291" spans="11:11" ht="13.2">
      <c r="K291" s="1"/>
    </row>
    <row r="292" spans="11:11" ht="13.2">
      <c r="K292" s="1"/>
    </row>
    <row r="293" spans="11:11" ht="13.2">
      <c r="K293" s="1"/>
    </row>
    <row r="294" spans="11:11" ht="13.2">
      <c r="K294" s="1"/>
    </row>
    <row r="295" spans="11:11" ht="13.2">
      <c r="K295" s="1"/>
    </row>
    <row r="296" spans="11:11" ht="13.2">
      <c r="K296" s="1"/>
    </row>
    <row r="297" spans="11:11" ht="13.2">
      <c r="K297" s="1"/>
    </row>
    <row r="298" spans="11:11" ht="13.2">
      <c r="K298" s="1"/>
    </row>
    <row r="299" spans="11:11" ht="13.2">
      <c r="K299" s="1"/>
    </row>
    <row r="300" spans="11:11" ht="13.2">
      <c r="K300" s="1"/>
    </row>
    <row r="301" spans="11:11" ht="13.2">
      <c r="K301" s="1"/>
    </row>
    <row r="302" spans="11:11" ht="13.2">
      <c r="K302" s="1"/>
    </row>
    <row r="303" spans="11:11" ht="13.2">
      <c r="K303" s="1"/>
    </row>
    <row r="304" spans="11:11" ht="13.2">
      <c r="K304" s="1"/>
    </row>
    <row r="305" spans="11:11" ht="13.2">
      <c r="K305" s="1"/>
    </row>
    <row r="306" spans="11:11" ht="13.2">
      <c r="K306" s="1"/>
    </row>
    <row r="307" spans="11:11" ht="13.2">
      <c r="K307" s="1"/>
    </row>
    <row r="308" spans="11:11" ht="13.2">
      <c r="K308" s="1"/>
    </row>
    <row r="309" spans="11:11" ht="13.2">
      <c r="K309" s="1"/>
    </row>
    <row r="310" spans="11:11" ht="13.2">
      <c r="K310" s="1"/>
    </row>
    <row r="311" spans="11:11" ht="13.2">
      <c r="K311" s="1"/>
    </row>
    <row r="312" spans="11:11" ht="13.2">
      <c r="K312" s="1"/>
    </row>
    <row r="313" spans="11:11" ht="13.2">
      <c r="K313" s="1"/>
    </row>
    <row r="314" spans="11:11" ht="13.2">
      <c r="K314" s="1"/>
    </row>
    <row r="315" spans="11:11" ht="13.2">
      <c r="K315" s="1"/>
    </row>
    <row r="316" spans="11:11" ht="13.2">
      <c r="K316" s="1"/>
    </row>
    <row r="317" spans="11:11" ht="13.2">
      <c r="K317" s="1"/>
    </row>
    <row r="318" spans="11:11" ht="13.2">
      <c r="K318" s="1"/>
    </row>
    <row r="319" spans="11:11" ht="13.2">
      <c r="K319" s="1"/>
    </row>
    <row r="320" spans="11:11" ht="13.2">
      <c r="K320" s="1"/>
    </row>
    <row r="321" spans="11:11" ht="13.2">
      <c r="K321" s="1"/>
    </row>
    <row r="322" spans="11:11" ht="13.2">
      <c r="K322" s="1"/>
    </row>
    <row r="323" spans="11:11" ht="13.2">
      <c r="K323" s="1"/>
    </row>
    <row r="324" spans="11:11" ht="13.2">
      <c r="K324" s="1"/>
    </row>
    <row r="325" spans="11:11" ht="13.2">
      <c r="K325" s="1"/>
    </row>
    <row r="326" spans="11:11" ht="13.2">
      <c r="K326" s="1"/>
    </row>
    <row r="327" spans="11:11" ht="13.2">
      <c r="K327" s="1"/>
    </row>
    <row r="328" spans="11:11" ht="13.2">
      <c r="K328" s="1"/>
    </row>
    <row r="329" spans="11:11" ht="13.2">
      <c r="K329" s="1"/>
    </row>
    <row r="330" spans="11:11" ht="13.2">
      <c r="K330" s="1"/>
    </row>
    <row r="331" spans="11:11" ht="13.2">
      <c r="K331" s="1"/>
    </row>
    <row r="332" spans="11:11" ht="13.2">
      <c r="K332" s="1"/>
    </row>
    <row r="333" spans="11:11" ht="13.2">
      <c r="K333" s="1"/>
    </row>
    <row r="334" spans="11:11" ht="13.2">
      <c r="K334" s="1"/>
    </row>
    <row r="335" spans="11:11" ht="13.2">
      <c r="K335" s="1"/>
    </row>
    <row r="336" spans="11:11" ht="13.2">
      <c r="K336" s="1"/>
    </row>
    <row r="337" spans="11:11" ht="13.2">
      <c r="K337" s="1"/>
    </row>
    <row r="338" spans="11:11" ht="13.2">
      <c r="K338" s="1"/>
    </row>
    <row r="339" spans="11:11" ht="13.2">
      <c r="K339" s="1"/>
    </row>
    <row r="340" spans="11:11" ht="13.2">
      <c r="K340" s="1"/>
    </row>
    <row r="341" spans="11:11" ht="13.2">
      <c r="K341" s="1"/>
    </row>
    <row r="342" spans="11:11" ht="13.2">
      <c r="K342" s="1"/>
    </row>
    <row r="343" spans="11:11" ht="13.2">
      <c r="K343" s="1"/>
    </row>
    <row r="344" spans="11:11" ht="13.2">
      <c r="K344" s="1"/>
    </row>
    <row r="345" spans="11:11" ht="13.2">
      <c r="K345" s="1"/>
    </row>
    <row r="346" spans="11:11" ht="13.2">
      <c r="K346" s="1"/>
    </row>
    <row r="347" spans="11:11" ht="13.2">
      <c r="K347" s="1"/>
    </row>
    <row r="348" spans="11:11" ht="13.2">
      <c r="K348" s="1"/>
    </row>
    <row r="349" spans="11:11" ht="13.2">
      <c r="K349" s="1"/>
    </row>
    <row r="350" spans="11:11" ht="13.2">
      <c r="K350" s="1"/>
    </row>
    <row r="351" spans="11:11" ht="13.2">
      <c r="K351" s="1"/>
    </row>
    <row r="352" spans="11:11" ht="13.2">
      <c r="K352" s="1"/>
    </row>
    <row r="353" spans="11:11" ht="13.2">
      <c r="K353" s="1"/>
    </row>
    <row r="354" spans="11:11" ht="13.2">
      <c r="K354" s="1"/>
    </row>
    <row r="355" spans="11:11" ht="13.2">
      <c r="K355" s="1"/>
    </row>
    <row r="356" spans="11:11" ht="13.2">
      <c r="K356" s="1"/>
    </row>
    <row r="357" spans="11:11" ht="13.2">
      <c r="K357" s="1"/>
    </row>
    <row r="358" spans="11:11" ht="13.2">
      <c r="K358" s="1"/>
    </row>
    <row r="359" spans="11:11" ht="13.2">
      <c r="K359" s="1"/>
    </row>
    <row r="360" spans="11:11" ht="13.2">
      <c r="K360" s="1"/>
    </row>
    <row r="361" spans="11:11" ht="13.2">
      <c r="K361" s="1"/>
    </row>
    <row r="362" spans="11:11" ht="13.2">
      <c r="K362" s="1"/>
    </row>
    <row r="363" spans="11:11" ht="13.2">
      <c r="K363" s="1"/>
    </row>
    <row r="364" spans="11:11" ht="13.2">
      <c r="K364" s="1"/>
    </row>
    <row r="365" spans="11:11" ht="13.2">
      <c r="K365" s="1"/>
    </row>
    <row r="366" spans="11:11" ht="13.2">
      <c r="K366" s="1"/>
    </row>
    <row r="367" spans="11:11" ht="13.2">
      <c r="K367" s="1"/>
    </row>
    <row r="368" spans="11:11" ht="13.2">
      <c r="K368" s="1"/>
    </row>
    <row r="369" spans="11:11" ht="13.2">
      <c r="K369" s="1"/>
    </row>
    <row r="370" spans="11:11" ht="13.2">
      <c r="K370" s="1"/>
    </row>
    <row r="371" spans="11:11" ht="13.2">
      <c r="K371" s="1"/>
    </row>
    <row r="372" spans="11:11" ht="13.2">
      <c r="K372" s="1"/>
    </row>
    <row r="373" spans="11:11" ht="13.2">
      <c r="K373" s="1"/>
    </row>
    <row r="374" spans="11:11" ht="13.2">
      <c r="K374" s="1"/>
    </row>
    <row r="375" spans="11:11" ht="13.2">
      <c r="K375" s="1"/>
    </row>
    <row r="376" spans="11:11" ht="13.2">
      <c r="K376" s="1"/>
    </row>
    <row r="377" spans="11:11" ht="13.2">
      <c r="K377" s="1"/>
    </row>
    <row r="378" spans="11:11" ht="13.2">
      <c r="K378" s="1"/>
    </row>
    <row r="379" spans="11:11" ht="13.2">
      <c r="K379" s="1"/>
    </row>
    <row r="380" spans="11:11" ht="13.2">
      <c r="K380" s="1"/>
    </row>
    <row r="381" spans="11:11" ht="13.2">
      <c r="K381" s="1"/>
    </row>
    <row r="382" spans="11:11" ht="13.2">
      <c r="K382" s="1"/>
    </row>
    <row r="383" spans="11:11" ht="13.2">
      <c r="K383" s="1"/>
    </row>
    <row r="384" spans="11:11" ht="13.2">
      <c r="K384" s="1"/>
    </row>
    <row r="385" spans="11:11" ht="13.2">
      <c r="K385" s="1"/>
    </row>
    <row r="386" spans="11:11" ht="13.2">
      <c r="K386" s="1"/>
    </row>
    <row r="387" spans="11:11" ht="13.2">
      <c r="K387" s="1"/>
    </row>
    <row r="388" spans="11:11" ht="13.2">
      <c r="K388" s="1"/>
    </row>
    <row r="389" spans="11:11" ht="13.2">
      <c r="K389" s="1"/>
    </row>
    <row r="390" spans="11:11" ht="13.2">
      <c r="K390" s="1"/>
    </row>
    <row r="391" spans="11:11" ht="13.2">
      <c r="K391" s="1"/>
    </row>
    <row r="392" spans="11:11" ht="13.2">
      <c r="K392" s="1"/>
    </row>
    <row r="393" spans="11:11" ht="13.2">
      <c r="K393" s="1"/>
    </row>
    <row r="394" spans="11:11" ht="13.2">
      <c r="K394" s="1"/>
    </row>
    <row r="395" spans="11:11" ht="13.2">
      <c r="K395" s="1"/>
    </row>
    <row r="396" spans="11:11" ht="13.2">
      <c r="K396" s="1"/>
    </row>
    <row r="397" spans="11:11" ht="13.2">
      <c r="K397" s="1"/>
    </row>
    <row r="398" spans="11:11" ht="13.2">
      <c r="K398" s="1"/>
    </row>
    <row r="399" spans="11:11" ht="13.2">
      <c r="K399" s="1"/>
    </row>
    <row r="400" spans="11:11" ht="13.2">
      <c r="K400" s="1"/>
    </row>
    <row r="401" spans="11:11" ht="13.2">
      <c r="K401" s="1"/>
    </row>
    <row r="402" spans="11:11" ht="13.2">
      <c r="K402" s="1"/>
    </row>
    <row r="403" spans="11:11" ht="13.2">
      <c r="K403" s="1"/>
    </row>
    <row r="404" spans="11:11" ht="13.2">
      <c r="K404" s="1"/>
    </row>
    <row r="405" spans="11:11" ht="13.2">
      <c r="K405" s="1"/>
    </row>
    <row r="406" spans="11:11" ht="13.2">
      <c r="K406" s="1"/>
    </row>
    <row r="407" spans="11:11" ht="13.2">
      <c r="K407" s="1"/>
    </row>
    <row r="408" spans="11:11" ht="13.2">
      <c r="K408" s="1"/>
    </row>
    <row r="409" spans="11:11" ht="13.2">
      <c r="K409" s="1"/>
    </row>
    <row r="410" spans="11:11" ht="13.2">
      <c r="K410" s="1"/>
    </row>
    <row r="411" spans="11:11" ht="13.2">
      <c r="K411" s="1"/>
    </row>
    <row r="412" spans="11:11" ht="13.2">
      <c r="K412" s="1"/>
    </row>
    <row r="413" spans="11:11" ht="13.2">
      <c r="K413" s="1"/>
    </row>
    <row r="414" spans="11:11" ht="13.2">
      <c r="K414" s="1"/>
    </row>
    <row r="415" spans="11:11" ht="13.2">
      <c r="K415" s="1"/>
    </row>
    <row r="416" spans="11:11" ht="13.2">
      <c r="K416" s="1"/>
    </row>
    <row r="417" spans="11:11" ht="13.2">
      <c r="K417" s="1"/>
    </row>
    <row r="418" spans="11:11" ht="13.2">
      <c r="K418" s="1"/>
    </row>
    <row r="419" spans="11:11" ht="13.2">
      <c r="K419" s="1"/>
    </row>
    <row r="420" spans="11:11" ht="13.2">
      <c r="K420" s="1"/>
    </row>
    <row r="421" spans="11:11" ht="13.2">
      <c r="K421" s="1"/>
    </row>
    <row r="422" spans="11:11" ht="13.2">
      <c r="K422" s="1"/>
    </row>
    <row r="423" spans="11:11" ht="13.2">
      <c r="K423" s="1"/>
    </row>
    <row r="424" spans="11:11" ht="13.2">
      <c r="K424" s="1"/>
    </row>
    <row r="425" spans="11:11" ht="13.2">
      <c r="K425" s="1"/>
    </row>
    <row r="426" spans="11:11" ht="13.2">
      <c r="K426" s="1"/>
    </row>
    <row r="427" spans="11:11" ht="13.2">
      <c r="K427" s="1"/>
    </row>
    <row r="428" spans="11:11" ht="13.2">
      <c r="K428" s="1"/>
    </row>
    <row r="429" spans="11:11" ht="13.2">
      <c r="K429" s="1"/>
    </row>
    <row r="430" spans="11:11" ht="13.2">
      <c r="K430" s="1"/>
    </row>
    <row r="431" spans="11:11" ht="13.2">
      <c r="K431" s="1"/>
    </row>
    <row r="432" spans="11:11" ht="13.2">
      <c r="K432" s="1"/>
    </row>
    <row r="433" spans="11:11" ht="13.2">
      <c r="K433" s="1"/>
    </row>
    <row r="434" spans="11:11" ht="13.2">
      <c r="K434" s="1"/>
    </row>
    <row r="435" spans="11:11" ht="13.2">
      <c r="K435" s="1"/>
    </row>
    <row r="436" spans="11:11" ht="13.2">
      <c r="K436" s="1"/>
    </row>
    <row r="437" spans="11:11" ht="13.2">
      <c r="K437" s="1"/>
    </row>
    <row r="438" spans="11:11" ht="13.2">
      <c r="K438" s="1"/>
    </row>
    <row r="439" spans="11:11" ht="13.2">
      <c r="K439" s="1"/>
    </row>
    <row r="440" spans="11:11" ht="13.2">
      <c r="K440" s="1"/>
    </row>
    <row r="441" spans="11:11" ht="13.2">
      <c r="K441" s="1"/>
    </row>
    <row r="442" spans="11:11" ht="13.2">
      <c r="K442" s="1"/>
    </row>
    <row r="443" spans="11:11" ht="13.2">
      <c r="K443" s="1"/>
    </row>
    <row r="444" spans="11:11" ht="13.2">
      <c r="K444" s="1"/>
    </row>
    <row r="445" spans="11:11" ht="13.2">
      <c r="K445" s="1"/>
    </row>
    <row r="446" spans="11:11" ht="13.2">
      <c r="K446" s="1"/>
    </row>
    <row r="447" spans="11:11" ht="13.2">
      <c r="K447" s="1"/>
    </row>
    <row r="448" spans="11:11" ht="13.2">
      <c r="K448" s="1"/>
    </row>
    <row r="449" spans="11:11" ht="13.2">
      <c r="K449" s="1"/>
    </row>
    <row r="450" spans="11:11" ht="13.2">
      <c r="K450" s="1"/>
    </row>
    <row r="451" spans="11:11" ht="13.2">
      <c r="K451" s="1"/>
    </row>
    <row r="452" spans="11:11" ht="13.2">
      <c r="K452" s="1"/>
    </row>
    <row r="453" spans="11:11" ht="13.2">
      <c r="K453" s="1"/>
    </row>
    <row r="454" spans="11:11" ht="13.2">
      <c r="K454" s="1"/>
    </row>
    <row r="455" spans="11:11" ht="13.2">
      <c r="K455" s="1"/>
    </row>
    <row r="456" spans="11:11" ht="13.2">
      <c r="K456" s="1"/>
    </row>
    <row r="457" spans="11:11" ht="13.2">
      <c r="K457" s="1"/>
    </row>
    <row r="458" spans="11:11" ht="13.2">
      <c r="K458" s="1"/>
    </row>
    <row r="459" spans="11:11" ht="13.2">
      <c r="K459" s="1"/>
    </row>
    <row r="460" spans="11:11" ht="13.2">
      <c r="K460" s="1"/>
    </row>
    <row r="461" spans="11:11" ht="13.2">
      <c r="K461" s="1"/>
    </row>
    <row r="462" spans="11:11" ht="13.2">
      <c r="K462" s="1"/>
    </row>
    <row r="463" spans="11:11" ht="13.2">
      <c r="K463" s="1"/>
    </row>
    <row r="464" spans="11:11" ht="13.2">
      <c r="K464" s="1"/>
    </row>
    <row r="465" spans="11:11" ht="13.2">
      <c r="K465" s="1"/>
    </row>
    <row r="466" spans="11:11" ht="13.2">
      <c r="K466" s="1"/>
    </row>
    <row r="467" spans="11:11" ht="13.2">
      <c r="K467" s="1"/>
    </row>
    <row r="468" spans="11:11" ht="13.2">
      <c r="K468" s="1"/>
    </row>
    <row r="469" spans="11:11" ht="13.2">
      <c r="K469" s="1"/>
    </row>
    <row r="470" spans="11:11" ht="13.2">
      <c r="K470" s="1"/>
    </row>
    <row r="471" spans="11:11" ht="13.2">
      <c r="K471" s="1"/>
    </row>
    <row r="472" spans="11:11" ht="13.2">
      <c r="K472" s="1"/>
    </row>
    <row r="473" spans="11:11" ht="13.2">
      <c r="K473" s="1"/>
    </row>
    <row r="474" spans="11:11" ht="13.2">
      <c r="K474" s="1"/>
    </row>
    <row r="475" spans="11:11" ht="13.2">
      <c r="K475" s="1"/>
    </row>
    <row r="476" spans="11:11" ht="13.2">
      <c r="K476" s="1"/>
    </row>
    <row r="477" spans="11:11" ht="13.2">
      <c r="K477" s="1"/>
    </row>
    <row r="478" spans="11:11" ht="13.2">
      <c r="K478" s="1"/>
    </row>
    <row r="479" spans="11:11" ht="13.2">
      <c r="K479" s="1"/>
    </row>
    <row r="480" spans="11:11" ht="13.2">
      <c r="K480" s="1"/>
    </row>
    <row r="481" spans="11:11" ht="13.2">
      <c r="K481" s="1"/>
    </row>
    <row r="482" spans="11:11" ht="13.2">
      <c r="K482" s="1"/>
    </row>
    <row r="483" spans="11:11" ht="13.2">
      <c r="K483" s="1"/>
    </row>
    <row r="484" spans="11:11" ht="13.2">
      <c r="K484" s="1"/>
    </row>
    <row r="485" spans="11:11" ht="13.2">
      <c r="K485" s="1"/>
    </row>
    <row r="486" spans="11:11" ht="13.2">
      <c r="K486" s="1"/>
    </row>
    <row r="487" spans="11:11" ht="13.2">
      <c r="K487" s="1"/>
    </row>
    <row r="488" spans="11:11" ht="13.2">
      <c r="K488" s="1"/>
    </row>
    <row r="489" spans="11:11" ht="13.2">
      <c r="K489" s="1"/>
    </row>
    <row r="490" spans="11:11" ht="13.2">
      <c r="K490" s="1"/>
    </row>
    <row r="491" spans="11:11" ht="13.2">
      <c r="K491" s="1"/>
    </row>
    <row r="492" spans="11:11" ht="13.2">
      <c r="K492" s="1"/>
    </row>
    <row r="493" spans="11:11" ht="13.2">
      <c r="K493" s="1"/>
    </row>
    <row r="494" spans="11:11" ht="13.2">
      <c r="K494" s="1"/>
    </row>
    <row r="495" spans="11:11" ht="13.2">
      <c r="K495" s="1"/>
    </row>
    <row r="496" spans="11:11" ht="13.2">
      <c r="K496" s="1"/>
    </row>
    <row r="497" spans="11:11" ht="13.2">
      <c r="K497" s="1"/>
    </row>
    <row r="498" spans="11:11" ht="13.2">
      <c r="K498" s="1"/>
    </row>
    <row r="499" spans="11:11" ht="13.2">
      <c r="K499" s="1"/>
    </row>
    <row r="500" spans="11:11" ht="13.2">
      <c r="K500" s="1"/>
    </row>
    <row r="501" spans="11:11" ht="13.2">
      <c r="K501" s="1"/>
    </row>
    <row r="502" spans="11:11" ht="13.2">
      <c r="K502" s="1"/>
    </row>
    <row r="503" spans="11:11" ht="13.2">
      <c r="K503" s="1"/>
    </row>
    <row r="504" spans="11:11" ht="13.2">
      <c r="K504" s="1"/>
    </row>
    <row r="505" spans="11:11" ht="13.2">
      <c r="K505" s="1"/>
    </row>
    <row r="506" spans="11:11" ht="13.2">
      <c r="K506" s="1"/>
    </row>
    <row r="507" spans="11:11" ht="13.2">
      <c r="K507" s="1"/>
    </row>
    <row r="508" spans="11:11" ht="13.2">
      <c r="K508" s="1"/>
    </row>
    <row r="509" spans="11:11" ht="13.2">
      <c r="K509" s="1"/>
    </row>
    <row r="510" spans="11:11" ht="13.2">
      <c r="K510" s="1"/>
    </row>
    <row r="511" spans="11:11" ht="13.2">
      <c r="K511" s="1"/>
    </row>
    <row r="512" spans="11:11" ht="13.2">
      <c r="K512" s="1"/>
    </row>
    <row r="513" spans="11:11" ht="13.2">
      <c r="K513" s="1"/>
    </row>
    <row r="514" spans="11:11" ht="13.2">
      <c r="K514" s="1"/>
    </row>
    <row r="515" spans="11:11" ht="13.2">
      <c r="K515" s="1"/>
    </row>
    <row r="516" spans="11:11" ht="13.2">
      <c r="K516" s="1"/>
    </row>
    <row r="517" spans="11:11" ht="13.2">
      <c r="K517" s="1"/>
    </row>
    <row r="518" spans="11:11" ht="13.2">
      <c r="K518" s="1"/>
    </row>
    <row r="519" spans="11:11" ht="13.2">
      <c r="K519" s="1"/>
    </row>
    <row r="520" spans="11:11" ht="13.2">
      <c r="K520" s="1"/>
    </row>
    <row r="521" spans="11:11" ht="13.2">
      <c r="K521" s="1"/>
    </row>
    <row r="522" spans="11:11" ht="13.2">
      <c r="K522" s="1"/>
    </row>
    <row r="523" spans="11:11" ht="13.2">
      <c r="K523" s="1"/>
    </row>
    <row r="524" spans="11:11" ht="13.2">
      <c r="K524" s="1"/>
    </row>
    <row r="525" spans="11:11" ht="13.2">
      <c r="K525" s="1"/>
    </row>
    <row r="526" spans="11:11" ht="13.2">
      <c r="K526" s="1"/>
    </row>
    <row r="527" spans="11:11" ht="13.2">
      <c r="K527" s="1"/>
    </row>
    <row r="528" spans="11:11" ht="13.2">
      <c r="K528" s="1"/>
    </row>
    <row r="529" spans="11:11" ht="13.2">
      <c r="K529" s="1"/>
    </row>
    <row r="530" spans="11:11" ht="13.2">
      <c r="K530" s="1"/>
    </row>
    <row r="531" spans="11:11" ht="13.2">
      <c r="K531" s="1"/>
    </row>
    <row r="532" spans="11:11" ht="13.2">
      <c r="K532" s="1"/>
    </row>
    <row r="533" spans="11:11" ht="13.2">
      <c r="K533" s="1"/>
    </row>
    <row r="534" spans="11:11" ht="13.2">
      <c r="K534" s="1"/>
    </row>
    <row r="535" spans="11:11" ht="13.2">
      <c r="K535" s="1"/>
    </row>
    <row r="536" spans="11:11" ht="13.2">
      <c r="K536" s="1"/>
    </row>
    <row r="537" spans="11:11" ht="13.2">
      <c r="K537" s="1"/>
    </row>
    <row r="538" spans="11:11" ht="13.2">
      <c r="K538" s="1"/>
    </row>
    <row r="539" spans="11:11" ht="13.2">
      <c r="K539" s="1"/>
    </row>
    <row r="540" spans="11:11" ht="13.2">
      <c r="K540" s="1"/>
    </row>
    <row r="541" spans="11:11" ht="13.2">
      <c r="K541" s="1"/>
    </row>
    <row r="542" spans="11:11" ht="13.2">
      <c r="K542" s="1"/>
    </row>
    <row r="543" spans="11:11" ht="13.2">
      <c r="K543" s="1"/>
    </row>
    <row r="544" spans="11:11" ht="13.2">
      <c r="K544" s="1"/>
    </row>
    <row r="545" spans="11:11" ht="13.2">
      <c r="K545" s="1"/>
    </row>
    <row r="546" spans="11:11" ht="13.2">
      <c r="K546" s="1"/>
    </row>
    <row r="547" spans="11:11" ht="13.2">
      <c r="K547" s="1"/>
    </row>
    <row r="548" spans="11:11" ht="13.2">
      <c r="K548" s="1"/>
    </row>
    <row r="549" spans="11:11" ht="13.2">
      <c r="K549" s="1"/>
    </row>
    <row r="550" spans="11:11" ht="13.2">
      <c r="K550" s="1"/>
    </row>
    <row r="551" spans="11:11" ht="13.2">
      <c r="K551" s="1"/>
    </row>
    <row r="552" spans="11:11" ht="13.2">
      <c r="K552" s="1"/>
    </row>
    <row r="553" spans="11:11" ht="13.2">
      <c r="K553" s="1"/>
    </row>
    <row r="554" spans="11:11" ht="13.2">
      <c r="K554" s="1"/>
    </row>
    <row r="555" spans="11:11" ht="13.2">
      <c r="K555" s="1"/>
    </row>
    <row r="556" spans="11:11" ht="13.2">
      <c r="K556" s="1"/>
    </row>
    <row r="557" spans="11:11" ht="13.2">
      <c r="K557" s="1"/>
    </row>
    <row r="558" spans="11:11" ht="13.2">
      <c r="K558" s="1"/>
    </row>
    <row r="559" spans="11:11" ht="13.2">
      <c r="K559" s="1"/>
    </row>
    <row r="560" spans="11:11" ht="13.2">
      <c r="K560" s="1"/>
    </row>
    <row r="561" spans="11:11" ht="13.2">
      <c r="K561" s="1"/>
    </row>
    <row r="562" spans="11:11" ht="13.2">
      <c r="K562" s="1"/>
    </row>
    <row r="563" spans="11:11" ht="13.2">
      <c r="K563" s="1"/>
    </row>
    <row r="564" spans="11:11" ht="13.2">
      <c r="K564" s="1"/>
    </row>
    <row r="565" spans="11:11" ht="13.2">
      <c r="K565" s="1"/>
    </row>
    <row r="566" spans="11:11" ht="13.2">
      <c r="K566" s="1"/>
    </row>
    <row r="567" spans="11:11" ht="13.2">
      <c r="K567" s="1"/>
    </row>
    <row r="568" spans="11:11" ht="13.2">
      <c r="K568" s="1"/>
    </row>
    <row r="569" spans="11:11" ht="13.2">
      <c r="K569" s="1"/>
    </row>
    <row r="570" spans="11:11" ht="13.2">
      <c r="K570" s="1"/>
    </row>
    <row r="571" spans="11:11" ht="13.2">
      <c r="K571" s="1"/>
    </row>
    <row r="572" spans="11:11" ht="13.2">
      <c r="K572" s="1"/>
    </row>
    <row r="573" spans="11:11" ht="13.2">
      <c r="K573" s="1"/>
    </row>
    <row r="574" spans="11:11" ht="13.2">
      <c r="K574" s="1"/>
    </row>
    <row r="575" spans="11:11" ht="13.2">
      <c r="K575" s="1"/>
    </row>
    <row r="576" spans="11:11" ht="13.2">
      <c r="K576" s="1"/>
    </row>
    <row r="577" spans="11:11" ht="13.2">
      <c r="K577" s="1"/>
    </row>
    <row r="578" spans="11:11" ht="13.2">
      <c r="K578" s="1"/>
    </row>
    <row r="579" spans="11:11" ht="13.2">
      <c r="K579" s="1"/>
    </row>
    <row r="580" spans="11:11" ht="13.2">
      <c r="K580" s="1"/>
    </row>
    <row r="581" spans="11:11" ht="13.2">
      <c r="K581" s="1"/>
    </row>
    <row r="582" spans="11:11" ht="13.2">
      <c r="K582" s="1"/>
    </row>
    <row r="583" spans="11:11" ht="13.2">
      <c r="K583" s="1"/>
    </row>
    <row r="584" spans="11:11" ht="13.2">
      <c r="K584" s="1"/>
    </row>
    <row r="585" spans="11:11" ht="13.2">
      <c r="K585" s="1"/>
    </row>
    <row r="586" spans="11:11" ht="13.2">
      <c r="K586" s="1"/>
    </row>
    <row r="587" spans="11:11" ht="13.2">
      <c r="K587" s="1"/>
    </row>
    <row r="588" spans="11:11" ht="13.2">
      <c r="K588" s="1"/>
    </row>
    <row r="589" spans="11:11" ht="13.2">
      <c r="K589" s="1"/>
    </row>
    <row r="590" spans="11:11" ht="13.2">
      <c r="K590" s="1"/>
    </row>
    <row r="591" spans="11:11" ht="13.2">
      <c r="K591" s="1"/>
    </row>
    <row r="592" spans="11:11" ht="13.2">
      <c r="K592" s="1"/>
    </row>
    <row r="593" spans="11:11" ht="13.2">
      <c r="K593" s="1"/>
    </row>
    <row r="594" spans="11:11" ht="13.2">
      <c r="K594" s="1"/>
    </row>
    <row r="595" spans="11:11" ht="13.2">
      <c r="K595" s="1"/>
    </row>
    <row r="596" spans="11:11" ht="13.2">
      <c r="K596" s="1"/>
    </row>
    <row r="597" spans="11:11" ht="13.2">
      <c r="K597" s="1"/>
    </row>
    <row r="598" spans="11:11" ht="13.2">
      <c r="K598" s="1"/>
    </row>
    <row r="599" spans="11:11" ht="13.2">
      <c r="K599" s="1"/>
    </row>
    <row r="600" spans="11:11" ht="13.2">
      <c r="K600" s="1"/>
    </row>
    <row r="601" spans="11:11" ht="13.2">
      <c r="K601" s="1"/>
    </row>
    <row r="602" spans="11:11" ht="13.2">
      <c r="K602" s="1"/>
    </row>
    <row r="603" spans="11:11" ht="13.2">
      <c r="K603" s="1"/>
    </row>
    <row r="604" spans="11:11" ht="13.2">
      <c r="K604" s="1"/>
    </row>
    <row r="605" spans="11:11" ht="13.2">
      <c r="K605" s="1"/>
    </row>
    <row r="606" spans="11:11" ht="13.2">
      <c r="K606" s="1"/>
    </row>
    <row r="607" spans="11:11" ht="13.2">
      <c r="K607" s="1"/>
    </row>
    <row r="608" spans="11:11" ht="13.2">
      <c r="K608" s="1"/>
    </row>
    <row r="609" spans="11:11" ht="13.2">
      <c r="K609" s="1"/>
    </row>
    <row r="610" spans="11:11" ht="13.2">
      <c r="K610" s="1"/>
    </row>
    <row r="611" spans="11:11" ht="13.2">
      <c r="K611" s="1"/>
    </row>
    <row r="612" spans="11:11" ht="13.2">
      <c r="K612" s="1"/>
    </row>
    <row r="613" spans="11:11" ht="13.2">
      <c r="K613" s="1"/>
    </row>
    <row r="614" spans="11:11" ht="13.2">
      <c r="K614" s="1"/>
    </row>
    <row r="615" spans="11:11" ht="13.2">
      <c r="K615" s="1"/>
    </row>
    <row r="616" spans="11:11" ht="13.2">
      <c r="K616" s="1"/>
    </row>
    <row r="617" spans="11:11" ht="13.2">
      <c r="K617" s="1"/>
    </row>
    <row r="618" spans="11:11" ht="13.2">
      <c r="K618" s="1"/>
    </row>
    <row r="619" spans="11:11" ht="13.2">
      <c r="K619" s="1"/>
    </row>
    <row r="620" spans="11:11" ht="13.2">
      <c r="K620" s="1"/>
    </row>
    <row r="621" spans="11:11" ht="13.2">
      <c r="K621" s="1"/>
    </row>
    <row r="622" spans="11:11" ht="13.2">
      <c r="K622" s="1"/>
    </row>
    <row r="623" spans="11:11" ht="13.2">
      <c r="K623" s="1"/>
    </row>
    <row r="624" spans="11:11" ht="13.2">
      <c r="K624" s="1"/>
    </row>
    <row r="625" spans="11:11" ht="13.2">
      <c r="K625" s="1"/>
    </row>
    <row r="626" spans="11:11" ht="13.2">
      <c r="K626" s="1"/>
    </row>
    <row r="627" spans="11:11" ht="13.2">
      <c r="K627" s="1"/>
    </row>
    <row r="628" spans="11:11" ht="13.2">
      <c r="K628" s="1"/>
    </row>
    <row r="629" spans="11:11" ht="13.2">
      <c r="K629" s="1"/>
    </row>
    <row r="630" spans="11:11" ht="13.2">
      <c r="K630" s="1"/>
    </row>
    <row r="631" spans="11:11" ht="13.2">
      <c r="K631" s="1"/>
    </row>
    <row r="632" spans="11:11" ht="13.2">
      <c r="K632" s="1"/>
    </row>
    <row r="633" spans="11:11" ht="13.2">
      <c r="K633" s="1"/>
    </row>
    <row r="634" spans="11:11" ht="13.2">
      <c r="K634" s="1"/>
    </row>
    <row r="635" spans="11:11" ht="13.2">
      <c r="K635" s="1"/>
    </row>
    <row r="636" spans="11:11" ht="13.2">
      <c r="K636" s="1"/>
    </row>
    <row r="637" spans="11:11" ht="13.2">
      <c r="K637" s="1"/>
    </row>
    <row r="638" spans="11:11" ht="13.2">
      <c r="K638" s="1"/>
    </row>
    <row r="639" spans="11:11" ht="13.2">
      <c r="K639" s="1"/>
    </row>
    <row r="640" spans="11:11" ht="13.2">
      <c r="K640" s="1"/>
    </row>
    <row r="641" spans="11:11" ht="13.2">
      <c r="K641" s="1"/>
    </row>
    <row r="642" spans="11:11" ht="13.2">
      <c r="K642" s="1"/>
    </row>
    <row r="643" spans="11:11" ht="13.2">
      <c r="K643" s="1"/>
    </row>
    <row r="644" spans="11:11" ht="13.2">
      <c r="K644" s="1"/>
    </row>
    <row r="645" spans="11:11" ht="13.2">
      <c r="K645" s="1"/>
    </row>
    <row r="646" spans="11:11" ht="13.2">
      <c r="K646" s="1"/>
    </row>
    <row r="647" spans="11:11" ht="13.2">
      <c r="K647" s="1"/>
    </row>
    <row r="648" spans="11:11" ht="13.2">
      <c r="K648" s="1"/>
    </row>
    <row r="649" spans="11:11" ht="13.2">
      <c r="K649" s="1"/>
    </row>
    <row r="650" spans="11:11" ht="13.2">
      <c r="K650" s="1"/>
    </row>
    <row r="651" spans="11:11" ht="13.2">
      <c r="K651" s="1"/>
    </row>
    <row r="652" spans="11:11" ht="13.2">
      <c r="K652" s="1"/>
    </row>
    <row r="653" spans="11:11" ht="13.2">
      <c r="K653" s="1"/>
    </row>
    <row r="654" spans="11:11" ht="13.2">
      <c r="K654" s="1"/>
    </row>
    <row r="655" spans="11:11" ht="13.2">
      <c r="K655" s="1"/>
    </row>
    <row r="656" spans="11:11" ht="13.2">
      <c r="K656" s="1"/>
    </row>
    <row r="657" spans="11:11" ht="13.2">
      <c r="K657" s="1"/>
    </row>
    <row r="658" spans="11:11" ht="13.2">
      <c r="K658" s="1"/>
    </row>
    <row r="659" spans="11:11" ht="13.2">
      <c r="K659" s="1"/>
    </row>
    <row r="660" spans="11:11" ht="13.2">
      <c r="K660" s="1"/>
    </row>
    <row r="661" spans="11:11" ht="13.2">
      <c r="K661" s="1"/>
    </row>
    <row r="662" spans="11:11" ht="13.2">
      <c r="K662" s="1"/>
    </row>
    <row r="663" spans="11:11" ht="13.2">
      <c r="K663" s="1"/>
    </row>
    <row r="664" spans="11:11" ht="13.2">
      <c r="K664" s="1"/>
    </row>
    <row r="665" spans="11:11" ht="13.2">
      <c r="K665" s="1"/>
    </row>
    <row r="666" spans="11:11" ht="13.2">
      <c r="K666" s="1"/>
    </row>
    <row r="667" spans="11:11" ht="13.2">
      <c r="K667" s="1"/>
    </row>
    <row r="668" spans="11:11" ht="13.2">
      <c r="K668" s="1"/>
    </row>
    <row r="669" spans="11:11" ht="13.2">
      <c r="K669" s="1"/>
    </row>
    <row r="670" spans="11:11" ht="13.2">
      <c r="K670" s="1"/>
    </row>
    <row r="671" spans="11:11" ht="13.2">
      <c r="K671" s="1"/>
    </row>
    <row r="672" spans="11:11" ht="13.2">
      <c r="K672" s="1"/>
    </row>
    <row r="673" spans="11:11" ht="13.2">
      <c r="K673" s="1"/>
    </row>
    <row r="674" spans="11:11" ht="13.2">
      <c r="K674" s="1"/>
    </row>
    <row r="675" spans="11:11" ht="13.2">
      <c r="K675" s="1"/>
    </row>
    <row r="676" spans="11:11" ht="13.2">
      <c r="K676" s="1"/>
    </row>
    <row r="677" spans="11:11" ht="13.2">
      <c r="K677" s="1"/>
    </row>
    <row r="678" spans="11:11" ht="13.2">
      <c r="K678" s="1"/>
    </row>
    <row r="679" spans="11:11" ht="13.2">
      <c r="K679" s="1"/>
    </row>
    <row r="680" spans="11:11" ht="13.2">
      <c r="K680" s="1"/>
    </row>
    <row r="681" spans="11:11" ht="13.2">
      <c r="K681" s="1"/>
    </row>
    <row r="682" spans="11:11" ht="13.2">
      <c r="K682" s="1"/>
    </row>
    <row r="683" spans="11:11" ht="13.2">
      <c r="K683" s="1"/>
    </row>
    <row r="684" spans="11:11" ht="13.2">
      <c r="K684" s="1"/>
    </row>
    <row r="685" spans="11:11" ht="13.2">
      <c r="K685" s="1"/>
    </row>
    <row r="686" spans="11:11" ht="13.2">
      <c r="K686" s="1"/>
    </row>
    <row r="687" spans="11:11" ht="13.2">
      <c r="K687" s="1"/>
    </row>
    <row r="688" spans="11:11" ht="13.2">
      <c r="K688" s="1"/>
    </row>
    <row r="689" spans="11:11" ht="13.2">
      <c r="K689" s="1"/>
    </row>
    <row r="690" spans="11:11" ht="13.2">
      <c r="K690" s="1"/>
    </row>
    <row r="691" spans="11:11" ht="13.2">
      <c r="K691" s="1"/>
    </row>
    <row r="692" spans="11:11" ht="13.2">
      <c r="K692" s="1"/>
    </row>
    <row r="693" spans="11:11" ht="13.2">
      <c r="K693" s="1"/>
    </row>
    <row r="694" spans="11:11" ht="13.2">
      <c r="K694" s="1"/>
    </row>
    <row r="695" spans="11:11" ht="13.2">
      <c r="K695" s="1"/>
    </row>
    <row r="696" spans="11:11" ht="13.2">
      <c r="K696" s="1"/>
    </row>
    <row r="697" spans="11:11" ht="13.2">
      <c r="K697" s="1"/>
    </row>
    <row r="698" spans="11:11" ht="13.2">
      <c r="K698" s="1"/>
    </row>
    <row r="699" spans="11:11" ht="13.2">
      <c r="K699" s="1"/>
    </row>
    <row r="700" spans="11:11" ht="13.2">
      <c r="K700" s="1"/>
    </row>
    <row r="701" spans="11:11" ht="13.2">
      <c r="K701" s="1"/>
    </row>
    <row r="702" spans="11:11" ht="13.2">
      <c r="K702" s="1"/>
    </row>
    <row r="703" spans="11:11" ht="13.2">
      <c r="K703" s="1"/>
    </row>
    <row r="704" spans="11:11" ht="13.2">
      <c r="K704" s="1"/>
    </row>
    <row r="705" spans="11:11" ht="13.2">
      <c r="K705" s="1"/>
    </row>
    <row r="706" spans="11:11" ht="13.2">
      <c r="K706" s="1"/>
    </row>
    <row r="707" spans="11:11" ht="13.2">
      <c r="K707" s="1"/>
    </row>
    <row r="708" spans="11:11" ht="13.2">
      <c r="K708" s="1"/>
    </row>
    <row r="709" spans="11:11" ht="13.2">
      <c r="K709" s="1"/>
    </row>
    <row r="710" spans="11:11" ht="13.2">
      <c r="K710" s="1"/>
    </row>
    <row r="711" spans="11:11" ht="13.2">
      <c r="K711" s="1"/>
    </row>
    <row r="712" spans="11:11" ht="13.2">
      <c r="K712" s="1"/>
    </row>
    <row r="713" spans="11:11" ht="13.2">
      <c r="K713" s="1"/>
    </row>
    <row r="714" spans="11:11" ht="13.2">
      <c r="K714" s="1"/>
    </row>
    <row r="715" spans="11:11" ht="13.2">
      <c r="K715" s="1"/>
    </row>
    <row r="716" spans="11:11" ht="13.2">
      <c r="K716" s="1"/>
    </row>
    <row r="717" spans="11:11" ht="13.2">
      <c r="K717" s="1"/>
    </row>
    <row r="718" spans="11:11" ht="13.2">
      <c r="K718" s="1"/>
    </row>
    <row r="719" spans="11:11" ht="13.2">
      <c r="K719" s="1"/>
    </row>
    <row r="720" spans="11:11" ht="13.2">
      <c r="K720" s="1"/>
    </row>
    <row r="721" spans="11:11" ht="13.2">
      <c r="K721" s="1"/>
    </row>
    <row r="722" spans="11:11" ht="13.2">
      <c r="K722" s="1"/>
    </row>
    <row r="723" spans="11:11" ht="13.2">
      <c r="K723" s="1"/>
    </row>
    <row r="724" spans="11:11" ht="13.2">
      <c r="K724" s="1"/>
    </row>
    <row r="725" spans="11:11" ht="13.2">
      <c r="K725" s="1"/>
    </row>
    <row r="726" spans="11:11" ht="13.2">
      <c r="K726" s="1"/>
    </row>
    <row r="727" spans="11:11" ht="13.2">
      <c r="K727" s="1"/>
    </row>
    <row r="728" spans="11:11" ht="13.2">
      <c r="K728" s="1"/>
    </row>
    <row r="729" spans="11:11" ht="13.2">
      <c r="K729" s="1"/>
    </row>
    <row r="730" spans="11:11" ht="13.2">
      <c r="K730" s="1"/>
    </row>
    <row r="731" spans="11:11" ht="13.2">
      <c r="K731" s="1"/>
    </row>
    <row r="732" spans="11:11" ht="13.2">
      <c r="K732" s="1"/>
    </row>
    <row r="733" spans="11:11" ht="13.2">
      <c r="K733" s="1"/>
    </row>
    <row r="734" spans="11:11" ht="13.2">
      <c r="K734" s="1"/>
    </row>
    <row r="735" spans="11:11" ht="13.2">
      <c r="K735" s="1"/>
    </row>
    <row r="736" spans="11:11" ht="13.2">
      <c r="K736" s="1"/>
    </row>
    <row r="737" spans="11:11" ht="13.2">
      <c r="K737" s="1"/>
    </row>
    <row r="738" spans="11:11" ht="13.2">
      <c r="K738" s="1"/>
    </row>
    <row r="739" spans="11:11" ht="13.2">
      <c r="K739" s="1"/>
    </row>
    <row r="740" spans="11:11" ht="13.2">
      <c r="K740" s="1"/>
    </row>
    <row r="741" spans="11:11" ht="13.2">
      <c r="K741" s="1"/>
    </row>
    <row r="742" spans="11:11" ht="13.2">
      <c r="K742" s="1"/>
    </row>
    <row r="743" spans="11:11" ht="13.2">
      <c r="K743" s="1"/>
    </row>
    <row r="744" spans="11:11" ht="13.2">
      <c r="K744" s="1"/>
    </row>
    <row r="745" spans="11:11" ht="13.2">
      <c r="K745" s="1"/>
    </row>
    <row r="746" spans="11:11" ht="13.2">
      <c r="K746" s="1"/>
    </row>
    <row r="747" spans="11:11" ht="13.2">
      <c r="K747" s="1"/>
    </row>
    <row r="748" spans="11:11" ht="13.2">
      <c r="K748" s="1"/>
    </row>
    <row r="749" spans="11:11" ht="13.2">
      <c r="K749" s="1"/>
    </row>
    <row r="750" spans="11:11" ht="13.2">
      <c r="K750" s="1"/>
    </row>
    <row r="751" spans="11:11" ht="13.2">
      <c r="K751" s="1"/>
    </row>
    <row r="752" spans="11:11" ht="13.2">
      <c r="K752" s="1"/>
    </row>
    <row r="753" spans="11:11" ht="13.2">
      <c r="K753" s="1"/>
    </row>
    <row r="754" spans="11:11" ht="13.2">
      <c r="K754" s="1"/>
    </row>
    <row r="755" spans="11:11" ht="13.2">
      <c r="K755" s="1"/>
    </row>
    <row r="756" spans="11:11" ht="13.2">
      <c r="K756" s="1"/>
    </row>
    <row r="757" spans="11:11" ht="13.2">
      <c r="K757" s="1"/>
    </row>
    <row r="758" spans="11:11" ht="13.2">
      <c r="K758" s="1"/>
    </row>
    <row r="759" spans="11:11" ht="13.2">
      <c r="K759" s="1"/>
    </row>
    <row r="760" spans="11:11" ht="13.2">
      <c r="K760" s="1"/>
    </row>
    <row r="761" spans="11:11" ht="13.2">
      <c r="K761" s="1"/>
    </row>
    <row r="762" spans="11:11" ht="13.2">
      <c r="K762" s="1"/>
    </row>
    <row r="763" spans="11:11" ht="13.2">
      <c r="K763" s="1"/>
    </row>
    <row r="764" spans="11:11" ht="13.2">
      <c r="K764" s="1"/>
    </row>
    <row r="765" spans="11:11" ht="13.2">
      <c r="K765" s="1"/>
    </row>
    <row r="766" spans="11:11" ht="13.2">
      <c r="K766" s="1"/>
    </row>
    <row r="767" spans="11:11" ht="13.2">
      <c r="K767" s="1"/>
    </row>
    <row r="768" spans="11:11" ht="13.2">
      <c r="K768" s="1"/>
    </row>
    <row r="769" spans="11:11" ht="13.2">
      <c r="K769" s="1"/>
    </row>
    <row r="770" spans="11:11" ht="13.2">
      <c r="K770" s="1"/>
    </row>
    <row r="771" spans="11:11" ht="13.2">
      <c r="K771" s="1"/>
    </row>
    <row r="772" spans="11:11" ht="13.2">
      <c r="K772" s="1"/>
    </row>
    <row r="773" spans="11:11" ht="13.2">
      <c r="K773" s="1"/>
    </row>
    <row r="774" spans="11:11" ht="13.2">
      <c r="K774" s="1"/>
    </row>
    <row r="775" spans="11:11" ht="13.2">
      <c r="K775" s="1"/>
    </row>
    <row r="776" spans="11:11" ht="13.2">
      <c r="K776" s="1"/>
    </row>
    <row r="777" spans="11:11" ht="13.2">
      <c r="K777" s="1"/>
    </row>
    <row r="778" spans="11:11" ht="13.2">
      <c r="K778" s="1"/>
    </row>
    <row r="779" spans="11:11" ht="13.2">
      <c r="K779" s="1"/>
    </row>
    <row r="780" spans="11:11" ht="13.2">
      <c r="K780" s="1"/>
    </row>
    <row r="781" spans="11:11" ht="13.2">
      <c r="K781" s="1"/>
    </row>
    <row r="782" spans="11:11" ht="13.2">
      <c r="K782" s="1"/>
    </row>
    <row r="783" spans="11:11" ht="13.2">
      <c r="K783" s="1"/>
    </row>
    <row r="784" spans="11:11" ht="13.2">
      <c r="K784" s="1"/>
    </row>
    <row r="785" spans="11:11" ht="13.2">
      <c r="K785" s="1"/>
    </row>
    <row r="786" spans="11:11" ht="13.2">
      <c r="K786" s="1"/>
    </row>
    <row r="787" spans="11:11" ht="13.2">
      <c r="K787" s="1"/>
    </row>
    <row r="788" spans="11:11" ht="13.2">
      <c r="K788" s="1"/>
    </row>
    <row r="789" spans="11:11" ht="13.2">
      <c r="K789" s="1"/>
    </row>
    <row r="790" spans="11:11" ht="13.2">
      <c r="K790" s="1"/>
    </row>
    <row r="791" spans="11:11" ht="13.2">
      <c r="K791" s="1"/>
    </row>
    <row r="792" spans="11:11" ht="13.2">
      <c r="K792" s="1"/>
    </row>
    <row r="793" spans="11:11" ht="13.2">
      <c r="K793" s="1"/>
    </row>
    <row r="794" spans="11:11" ht="13.2">
      <c r="K794" s="1"/>
    </row>
    <row r="795" spans="11:11" ht="13.2">
      <c r="K795" s="1"/>
    </row>
    <row r="796" spans="11:11" ht="13.2">
      <c r="K796" s="1"/>
    </row>
    <row r="797" spans="11:11" ht="13.2">
      <c r="K797" s="1"/>
    </row>
    <row r="798" spans="11:11" ht="13.2">
      <c r="K798" s="1"/>
    </row>
    <row r="799" spans="11:11" ht="13.2">
      <c r="K799" s="1"/>
    </row>
    <row r="800" spans="11:11" ht="13.2">
      <c r="K800" s="1"/>
    </row>
    <row r="801" spans="11:11" ht="13.2">
      <c r="K801" s="1"/>
    </row>
    <row r="802" spans="11:11" ht="13.2">
      <c r="K802" s="1"/>
    </row>
    <row r="803" spans="11:11" ht="13.2">
      <c r="K803" s="1"/>
    </row>
    <row r="804" spans="11:11" ht="13.2">
      <c r="K804" s="1"/>
    </row>
    <row r="805" spans="11:11" ht="13.2">
      <c r="K805" s="1"/>
    </row>
    <row r="806" spans="11:11" ht="13.2">
      <c r="K806" s="1"/>
    </row>
    <row r="807" spans="11:11" ht="13.2">
      <c r="K807" s="1"/>
    </row>
    <row r="808" spans="11:11" ht="13.2">
      <c r="K808" s="1"/>
    </row>
    <row r="809" spans="11:11" ht="13.2">
      <c r="K809" s="1"/>
    </row>
    <row r="810" spans="11:11" ht="13.2">
      <c r="K810" s="1"/>
    </row>
    <row r="811" spans="11:11" ht="13.2">
      <c r="K811" s="1"/>
    </row>
    <row r="812" spans="11:11" ht="13.2">
      <c r="K812" s="1"/>
    </row>
    <row r="813" spans="11:11" ht="13.2">
      <c r="K813" s="1"/>
    </row>
    <row r="814" spans="11:11" ht="13.2">
      <c r="K814" s="1"/>
    </row>
    <row r="815" spans="11:11" ht="13.2">
      <c r="K815" s="1"/>
    </row>
    <row r="816" spans="11:11" ht="13.2">
      <c r="K816" s="1"/>
    </row>
    <row r="817" spans="11:11" ht="13.2">
      <c r="K817" s="1"/>
    </row>
    <row r="818" spans="11:11" ht="13.2">
      <c r="K818" s="1"/>
    </row>
    <row r="819" spans="11:11" ht="13.2">
      <c r="K819" s="1"/>
    </row>
    <row r="820" spans="11:11" ht="13.2">
      <c r="K820" s="1"/>
    </row>
    <row r="821" spans="11:11" ht="13.2">
      <c r="K821" s="1"/>
    </row>
    <row r="822" spans="11:11" ht="13.2">
      <c r="K822" s="1"/>
    </row>
    <row r="823" spans="11:11" ht="13.2">
      <c r="K823" s="1"/>
    </row>
    <row r="824" spans="11:11" ht="13.2">
      <c r="K824" s="1"/>
    </row>
    <row r="825" spans="11:11" ht="13.2">
      <c r="K825" s="1"/>
    </row>
    <row r="826" spans="11:11" ht="13.2">
      <c r="K826" s="1"/>
    </row>
    <row r="827" spans="11:11" ht="13.2">
      <c r="K827" s="1"/>
    </row>
    <row r="828" spans="11:11" ht="13.2">
      <c r="K828" s="1"/>
    </row>
    <row r="829" spans="11:11" ht="13.2">
      <c r="K829" s="1"/>
    </row>
    <row r="830" spans="11:11" ht="13.2">
      <c r="K830" s="1"/>
    </row>
    <row r="831" spans="11:11" ht="13.2">
      <c r="K831" s="1"/>
    </row>
    <row r="832" spans="11:11" ht="13.2">
      <c r="K832" s="1"/>
    </row>
    <row r="833" spans="11:11" ht="13.2">
      <c r="K833" s="1"/>
    </row>
    <row r="834" spans="11:11" ht="13.2">
      <c r="K834" s="1"/>
    </row>
    <row r="835" spans="11:11" ht="13.2">
      <c r="K835" s="1"/>
    </row>
    <row r="836" spans="11:11" ht="13.2">
      <c r="K836" s="1"/>
    </row>
    <row r="837" spans="11:11" ht="13.2">
      <c r="K837" s="1"/>
    </row>
    <row r="838" spans="11:11" ht="13.2">
      <c r="K838" s="1"/>
    </row>
    <row r="839" spans="11:11" ht="13.2">
      <c r="K839" s="1"/>
    </row>
    <row r="840" spans="11:11" ht="13.2">
      <c r="K840" s="1"/>
    </row>
    <row r="841" spans="11:11" ht="13.2">
      <c r="K841" s="1"/>
    </row>
    <row r="842" spans="11:11" ht="13.2">
      <c r="K842" s="1"/>
    </row>
    <row r="843" spans="11:11" ht="13.2">
      <c r="K843" s="1"/>
    </row>
    <row r="844" spans="11:11" ht="13.2">
      <c r="K844" s="1"/>
    </row>
    <row r="845" spans="11:11" ht="13.2">
      <c r="K845" s="1"/>
    </row>
    <row r="846" spans="11:11" ht="13.2">
      <c r="K846" s="1"/>
    </row>
    <row r="847" spans="11:11" ht="13.2">
      <c r="K847" s="1"/>
    </row>
    <row r="848" spans="11:11" ht="13.2">
      <c r="K848" s="1"/>
    </row>
    <row r="849" spans="11:11" ht="13.2">
      <c r="K849" s="1"/>
    </row>
    <row r="850" spans="11:11" ht="13.2">
      <c r="K850" s="1"/>
    </row>
    <row r="851" spans="11:11" ht="13.2">
      <c r="K851" s="1"/>
    </row>
    <row r="852" spans="11:11" ht="13.2">
      <c r="K852" s="1"/>
    </row>
    <row r="853" spans="11:11" ht="13.2">
      <c r="K853" s="1"/>
    </row>
    <row r="854" spans="11:11" ht="13.2">
      <c r="K854" s="1"/>
    </row>
    <row r="855" spans="11:11" ht="13.2">
      <c r="K855" s="1"/>
    </row>
    <row r="856" spans="11:11" ht="13.2">
      <c r="K856" s="1"/>
    </row>
    <row r="857" spans="11:11" ht="13.2">
      <c r="K857" s="1"/>
    </row>
    <row r="858" spans="11:11" ht="13.2">
      <c r="K858" s="1"/>
    </row>
    <row r="859" spans="11:11" ht="13.2">
      <c r="K859" s="1"/>
    </row>
    <row r="860" spans="11:11" ht="13.2">
      <c r="K860" s="1"/>
    </row>
    <row r="861" spans="11:11" ht="13.2">
      <c r="K861" s="1"/>
    </row>
    <row r="862" spans="11:11" ht="13.2">
      <c r="K862" s="1"/>
    </row>
    <row r="863" spans="11:11" ht="13.2">
      <c r="K863" s="1"/>
    </row>
    <row r="864" spans="11:11" ht="13.2">
      <c r="K864" s="1"/>
    </row>
    <row r="865" spans="11:11" ht="13.2">
      <c r="K865" s="1"/>
    </row>
    <row r="866" spans="11:11" ht="13.2">
      <c r="K866" s="1"/>
    </row>
    <row r="867" spans="11:11" ht="13.2">
      <c r="K867" s="1"/>
    </row>
    <row r="868" spans="11:11" ht="13.2">
      <c r="K868" s="1"/>
    </row>
    <row r="869" spans="11:11" ht="13.2">
      <c r="K869" s="1"/>
    </row>
    <row r="870" spans="11:11" ht="13.2">
      <c r="K870" s="1"/>
    </row>
    <row r="871" spans="11:11" ht="13.2">
      <c r="K871" s="1"/>
    </row>
    <row r="872" spans="11:11" ht="13.2">
      <c r="K872" s="1"/>
    </row>
    <row r="873" spans="11:11" ht="13.2">
      <c r="K873" s="1"/>
    </row>
    <row r="874" spans="11:11" ht="13.2">
      <c r="K874" s="1"/>
    </row>
    <row r="875" spans="11:11" ht="13.2">
      <c r="K875" s="1"/>
    </row>
    <row r="876" spans="11:11" ht="13.2">
      <c r="K876" s="1"/>
    </row>
    <row r="877" spans="11:11" ht="13.2">
      <c r="K877" s="1"/>
    </row>
    <row r="878" spans="11:11" ht="13.2">
      <c r="K878" s="1"/>
    </row>
    <row r="879" spans="11:11" ht="13.2">
      <c r="K879" s="1"/>
    </row>
    <row r="880" spans="11:11" ht="13.2">
      <c r="K880" s="1"/>
    </row>
    <row r="881" spans="11:11" ht="13.2">
      <c r="K881" s="1"/>
    </row>
    <row r="882" spans="11:11" ht="13.2">
      <c r="K882" s="1"/>
    </row>
    <row r="883" spans="11:11" ht="13.2">
      <c r="K883" s="1"/>
    </row>
    <row r="884" spans="11:11" ht="13.2">
      <c r="K884" s="1"/>
    </row>
    <row r="885" spans="11:11" ht="13.2">
      <c r="K885" s="1"/>
    </row>
    <row r="886" spans="11:11" ht="13.2">
      <c r="K886" s="1"/>
    </row>
    <row r="887" spans="11:11" ht="13.2">
      <c r="K887" s="1"/>
    </row>
    <row r="888" spans="11:11" ht="13.2">
      <c r="K888" s="1"/>
    </row>
    <row r="889" spans="11:11" ht="13.2">
      <c r="K889" s="1"/>
    </row>
    <row r="890" spans="11:11" ht="13.2">
      <c r="K890" s="1"/>
    </row>
    <row r="891" spans="11:11" ht="13.2">
      <c r="K891" s="1"/>
    </row>
    <row r="892" spans="11:11" ht="13.2">
      <c r="K892" s="1"/>
    </row>
    <row r="893" spans="11:11" ht="13.2">
      <c r="K893" s="1"/>
    </row>
    <row r="894" spans="11:11" ht="13.2">
      <c r="K894" s="1"/>
    </row>
    <row r="895" spans="11:11" ht="13.2">
      <c r="K895" s="1"/>
    </row>
    <row r="896" spans="11:11" ht="13.2">
      <c r="K896" s="1"/>
    </row>
    <row r="897" spans="11:11" ht="13.2">
      <c r="K897" s="1"/>
    </row>
    <row r="898" spans="11:11" ht="13.2">
      <c r="K898" s="1"/>
    </row>
    <row r="899" spans="11:11" ht="13.2">
      <c r="K899" s="1"/>
    </row>
    <row r="900" spans="11:11" ht="13.2">
      <c r="K900" s="1"/>
    </row>
    <row r="901" spans="11:11" ht="13.2">
      <c r="K901" s="1"/>
    </row>
    <row r="902" spans="11:11" ht="13.2">
      <c r="K902" s="1"/>
    </row>
    <row r="903" spans="11:11" ht="13.2">
      <c r="K903" s="1"/>
    </row>
    <row r="904" spans="11:11" ht="13.2">
      <c r="K904" s="1"/>
    </row>
    <row r="905" spans="11:11" ht="13.2">
      <c r="K905" s="1"/>
    </row>
    <row r="906" spans="11:11" ht="13.2">
      <c r="K906" s="1"/>
    </row>
    <row r="907" spans="11:11" ht="13.2">
      <c r="K907" s="1"/>
    </row>
    <row r="908" spans="11:11" ht="13.2">
      <c r="K908" s="1"/>
    </row>
    <row r="909" spans="11:11" ht="13.2">
      <c r="K909" s="1"/>
    </row>
    <row r="910" spans="11:11" ht="13.2">
      <c r="K910" s="1"/>
    </row>
    <row r="911" spans="11:11" ht="13.2">
      <c r="K911" s="1"/>
    </row>
    <row r="912" spans="11:11" ht="13.2">
      <c r="K912" s="1"/>
    </row>
    <row r="913" spans="11:11" ht="13.2">
      <c r="K913" s="1"/>
    </row>
    <row r="914" spans="11:11" ht="13.2">
      <c r="K914" s="1"/>
    </row>
    <row r="915" spans="11:11" ht="13.2">
      <c r="K915" s="1"/>
    </row>
    <row r="916" spans="11:11" ht="13.2">
      <c r="K916" s="1"/>
    </row>
    <row r="917" spans="11:11" ht="13.2">
      <c r="K917" s="1"/>
    </row>
    <row r="918" spans="11:11" ht="13.2">
      <c r="K918" s="1"/>
    </row>
    <row r="919" spans="11:11" ht="13.2">
      <c r="K919" s="1"/>
    </row>
    <row r="920" spans="11:11" ht="13.2">
      <c r="K920" s="1"/>
    </row>
    <row r="921" spans="11:11" ht="13.2">
      <c r="K921" s="1"/>
    </row>
    <row r="922" spans="11:11" ht="13.2">
      <c r="K922" s="1"/>
    </row>
    <row r="923" spans="11:11" ht="13.2">
      <c r="K923" s="1"/>
    </row>
    <row r="924" spans="11:11" ht="13.2">
      <c r="K924" s="1"/>
    </row>
    <row r="925" spans="11:11" ht="13.2">
      <c r="K925" s="1"/>
    </row>
    <row r="926" spans="11:11" ht="13.2">
      <c r="K926" s="1"/>
    </row>
    <row r="927" spans="11:11" ht="13.2">
      <c r="K927" s="1"/>
    </row>
    <row r="928" spans="11:11" ht="13.2">
      <c r="K928" s="1"/>
    </row>
    <row r="929" spans="11:11" ht="13.2">
      <c r="K929" s="1"/>
    </row>
    <row r="930" spans="11:11" ht="13.2">
      <c r="K930" s="1"/>
    </row>
    <row r="931" spans="11:11" ht="13.2">
      <c r="K931" s="1"/>
    </row>
    <row r="932" spans="11:11" ht="13.2">
      <c r="K932" s="1"/>
    </row>
    <row r="933" spans="11:11" ht="13.2">
      <c r="K933" s="1"/>
    </row>
    <row r="934" spans="11:11" ht="13.2">
      <c r="K934" s="1"/>
    </row>
    <row r="935" spans="11:11" ht="13.2">
      <c r="K935" s="1"/>
    </row>
    <row r="936" spans="11:11" ht="13.2">
      <c r="K936" s="1"/>
    </row>
    <row r="937" spans="11:11" ht="13.2">
      <c r="K937" s="1"/>
    </row>
    <row r="938" spans="11:11" ht="13.2">
      <c r="K938" s="1"/>
    </row>
    <row r="939" spans="11:11" ht="13.2">
      <c r="K939" s="1"/>
    </row>
    <row r="940" spans="11:11" ht="13.2">
      <c r="K940" s="1"/>
    </row>
    <row r="941" spans="11:11" ht="13.2">
      <c r="K941" s="1"/>
    </row>
    <row r="942" spans="11:11" ht="13.2">
      <c r="K942" s="1"/>
    </row>
    <row r="943" spans="11:11" ht="13.2">
      <c r="K943" s="1"/>
    </row>
    <row r="944" spans="11:11" ht="13.2">
      <c r="K944" s="1"/>
    </row>
    <row r="945" spans="11:11" ht="13.2">
      <c r="K945" s="1"/>
    </row>
    <row r="946" spans="11:11" ht="13.2">
      <c r="K946" s="1"/>
    </row>
    <row r="947" spans="11:11" ht="13.2">
      <c r="K947" s="1"/>
    </row>
    <row r="948" spans="11:11" ht="13.2">
      <c r="K948" s="1"/>
    </row>
    <row r="949" spans="11:11" ht="13.2">
      <c r="K949" s="1"/>
    </row>
    <row r="950" spans="11:11" ht="13.2">
      <c r="K950" s="1"/>
    </row>
    <row r="951" spans="11:11" ht="13.2">
      <c r="K951" s="1"/>
    </row>
    <row r="952" spans="11:11" ht="13.2">
      <c r="K952" s="1"/>
    </row>
    <row r="953" spans="11:11" ht="13.2">
      <c r="K953" s="1"/>
    </row>
    <row r="954" spans="11:11" ht="13.2">
      <c r="K954" s="1"/>
    </row>
    <row r="955" spans="11:11" ht="13.2">
      <c r="K955" s="1"/>
    </row>
    <row r="956" spans="11:11" ht="13.2">
      <c r="K956" s="1"/>
    </row>
    <row r="957" spans="11:11" ht="13.2">
      <c r="K957" s="1"/>
    </row>
    <row r="958" spans="11:11" ht="13.2">
      <c r="K958" s="1"/>
    </row>
    <row r="959" spans="11:11" ht="13.2">
      <c r="K959" s="1"/>
    </row>
    <row r="960" spans="11:11" ht="13.2">
      <c r="K960" s="1"/>
    </row>
    <row r="961" spans="11:11" ht="13.2">
      <c r="K961" s="1"/>
    </row>
    <row r="962" spans="11:11" ht="13.2">
      <c r="K962" s="1"/>
    </row>
    <row r="963" spans="11:11" ht="13.2">
      <c r="K963" s="1"/>
    </row>
    <row r="964" spans="11:11" ht="13.2">
      <c r="K964" s="1"/>
    </row>
    <row r="965" spans="11:11" ht="13.2">
      <c r="K965" s="1"/>
    </row>
    <row r="966" spans="11:11" ht="13.2">
      <c r="K966" s="1"/>
    </row>
    <row r="967" spans="11:11" ht="13.2">
      <c r="K967" s="1"/>
    </row>
    <row r="968" spans="11:11" ht="13.2">
      <c r="K968" s="1"/>
    </row>
    <row r="969" spans="11:11" ht="13.2">
      <c r="K969" s="1"/>
    </row>
    <row r="970" spans="11:11" ht="13.2">
      <c r="K970" s="1"/>
    </row>
    <row r="971" spans="11:11" ht="13.2">
      <c r="K971" s="1"/>
    </row>
    <row r="972" spans="11:11" ht="13.2">
      <c r="K972" s="1"/>
    </row>
    <row r="973" spans="11:11" ht="13.2">
      <c r="K973" s="1"/>
    </row>
    <row r="974" spans="11:11" ht="13.2">
      <c r="K974" s="1"/>
    </row>
    <row r="975" spans="11:11" ht="13.2">
      <c r="K975" s="1"/>
    </row>
    <row r="976" spans="11:11" ht="13.2">
      <c r="K976" s="1"/>
    </row>
    <row r="977" spans="11:11" ht="13.2">
      <c r="K977" s="1"/>
    </row>
    <row r="978" spans="11:11" ht="13.2">
      <c r="K978" s="1"/>
    </row>
    <row r="979" spans="11:11" ht="13.2">
      <c r="K979" s="1"/>
    </row>
    <row r="980" spans="11:11" ht="13.2">
      <c r="K980" s="1"/>
    </row>
    <row r="981" spans="11:11" ht="13.2">
      <c r="K981" s="1"/>
    </row>
    <row r="982" spans="11:11" ht="13.2">
      <c r="K982" s="1"/>
    </row>
    <row r="983" spans="11:11" ht="13.2">
      <c r="K983" s="1"/>
    </row>
    <row r="984" spans="11:11" ht="13.2">
      <c r="K984" s="1"/>
    </row>
    <row r="985" spans="11:11" ht="13.2">
      <c r="K985" s="1"/>
    </row>
    <row r="986" spans="11:11" ht="13.2">
      <c r="K986" s="1"/>
    </row>
    <row r="987" spans="11:11" ht="13.2">
      <c r="K987" s="1"/>
    </row>
    <row r="988" spans="11:11" ht="13.2">
      <c r="K988" s="1"/>
    </row>
    <row r="989" spans="11:11" ht="13.2">
      <c r="K989" s="1"/>
    </row>
    <row r="990" spans="11:11" ht="13.2">
      <c r="K990" s="1"/>
    </row>
    <row r="991" spans="11:11" ht="13.2">
      <c r="K991" s="1"/>
    </row>
    <row r="992" spans="11:11" ht="13.2">
      <c r="K992" s="1"/>
    </row>
    <row r="993" spans="11:11" ht="13.2">
      <c r="K993" s="1"/>
    </row>
    <row r="994" spans="11:11" ht="13.2">
      <c r="K994" s="1"/>
    </row>
    <row r="995" spans="11:11" ht="13.2">
      <c r="K995" s="1"/>
    </row>
    <row r="996" spans="11:11" ht="13.2">
      <c r="K996" s="1"/>
    </row>
    <row r="997" spans="11:11" ht="13.2">
      <c r="K997" s="1"/>
    </row>
    <row r="998" spans="11:11" ht="13.2">
      <c r="K998" s="1"/>
    </row>
    <row r="999" spans="11:11" ht="13.2">
      <c r="K999" s="1"/>
    </row>
    <row r="1000" spans="11:11" ht="13.2">
      <c r="K1000" s="1"/>
    </row>
    <row r="1001" spans="11:11" ht="13.2">
      <c r="K1001" s="1"/>
    </row>
    <row r="1002" spans="11:11" ht="13.2">
      <c r="K1002" s="1"/>
    </row>
    <row r="1003" spans="11:11" ht="13.2">
      <c r="K1003" s="1"/>
    </row>
    <row r="1004" spans="11:11" ht="13.2">
      <c r="K1004" s="1"/>
    </row>
    <row r="1005" spans="11:11" ht="13.2">
      <c r="K1005" s="1"/>
    </row>
    <row r="1006" spans="11:11" ht="13.2">
      <c r="K1006" s="1"/>
    </row>
    <row r="1007" spans="11:11" ht="13.2">
      <c r="K1007" s="1"/>
    </row>
    <row r="1008" spans="11:11" ht="13.2">
      <c r="K1008" s="1"/>
    </row>
    <row r="1009" spans="11:11" ht="13.2">
      <c r="K1009" s="1"/>
    </row>
    <row r="1010" spans="11:11" ht="13.2">
      <c r="K1010" s="1"/>
    </row>
    <row r="1011" spans="11:11" ht="13.2">
      <c r="K1011" s="1"/>
    </row>
    <row r="1012" spans="11:11" ht="13.2">
      <c r="K1012" s="1"/>
    </row>
    <row r="1013" spans="11:11" ht="13.2">
      <c r="K1013" s="1"/>
    </row>
    <row r="1014" spans="11:11" ht="13.2">
      <c r="K1014" s="1"/>
    </row>
    <row r="1015" spans="11:11" ht="13.2">
      <c r="K1015" s="1"/>
    </row>
    <row r="1016" spans="11:11" ht="13.2">
      <c r="K1016" s="1"/>
    </row>
    <row r="1017" spans="11:11" ht="13.2">
      <c r="K1017" s="1"/>
    </row>
    <row r="1018" spans="11:11" ht="13.2">
      <c r="K1018" s="1"/>
    </row>
    <row r="1019" spans="11:11" ht="13.2">
      <c r="K1019" s="1"/>
    </row>
    <row r="1020" spans="11:11" ht="13.2">
      <c r="K1020" s="1"/>
    </row>
    <row r="1021" spans="11:11" ht="13.2">
      <c r="K1021" s="1"/>
    </row>
    <row r="1022" spans="11:11" ht="13.2">
      <c r="K1022" s="1"/>
    </row>
    <row r="1023" spans="11:11" ht="13.2">
      <c r="K1023" s="1"/>
    </row>
    <row r="1024" spans="11:11" ht="13.2">
      <c r="K1024" s="1"/>
    </row>
    <row r="1025" spans="11:11" ht="13.2">
      <c r="K1025" s="1"/>
    </row>
    <row r="1026" spans="11:11" ht="13.2">
      <c r="K1026" s="1"/>
    </row>
    <row r="1027" spans="11:11" ht="13.2">
      <c r="K1027" s="1"/>
    </row>
    <row r="1028" spans="11:11" ht="13.2">
      <c r="K1028" s="1"/>
    </row>
    <row r="1029" spans="11:11" ht="13.2">
      <c r="K1029" s="1"/>
    </row>
    <row r="1030" spans="11:11" ht="13.2">
      <c r="K1030" s="1"/>
    </row>
    <row r="1031" spans="11:11" ht="13.2">
      <c r="K1031" s="1"/>
    </row>
    <row r="1032" spans="11:11" ht="13.2">
      <c r="K1032" s="1"/>
    </row>
    <row r="1033" spans="11:11" ht="13.2">
      <c r="K1033" s="1"/>
    </row>
    <row r="1034" spans="11:11" ht="13.2">
      <c r="K1034" s="1"/>
    </row>
    <row r="1035" spans="11:11" ht="13.2">
      <c r="K103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1035"/>
  <sheetViews>
    <sheetView showGridLines="0" workbookViewId="0"/>
  </sheetViews>
  <sheetFormatPr defaultColWidth="12.6640625" defaultRowHeight="15.75" customHeight="1"/>
  <cols>
    <col min="1" max="1" width="20.77734375" customWidth="1"/>
    <col min="2" max="2" width="24" customWidth="1"/>
    <col min="3" max="3" width="17.21875" customWidth="1"/>
    <col min="4" max="4" width="15.33203125" customWidth="1"/>
    <col min="5" max="5" width="13.88671875" customWidth="1"/>
    <col min="6" max="6" width="11.44140625" customWidth="1"/>
  </cols>
  <sheetData>
    <row r="1" spans="1:30" ht="13.2">
      <c r="K1" s="1"/>
    </row>
    <row r="2" spans="1:30" ht="13.2">
      <c r="B2" s="2" t="s">
        <v>0</v>
      </c>
      <c r="C2" s="3">
        <f ca="1">IFERROR(__xludf.DUMMYFUNCTION("GOOGLEFINANCE(B2)"),20.91)</f>
        <v>20.91</v>
      </c>
      <c r="D2" s="3"/>
      <c r="E2" s="3"/>
      <c r="F2" s="3"/>
      <c r="K2" s="1">
        <v>1</v>
      </c>
      <c r="L2" s="4">
        <f t="shared" ref="L2:O2" si="0">K2+1</f>
        <v>2</v>
      </c>
      <c r="M2" s="4">
        <f t="shared" si="0"/>
        <v>3</v>
      </c>
      <c r="N2" s="4">
        <f t="shared" si="0"/>
        <v>4</v>
      </c>
      <c r="O2" s="4">
        <f t="shared" si="0"/>
        <v>5</v>
      </c>
    </row>
    <row r="3" spans="1:30" ht="13.2">
      <c r="B3" s="5" t="s">
        <v>1</v>
      </c>
      <c r="C3" s="5">
        <v>2015</v>
      </c>
      <c r="D3" s="5">
        <v>2016</v>
      </c>
      <c r="E3" s="5">
        <v>2017</v>
      </c>
      <c r="F3" s="6">
        <v>2018</v>
      </c>
      <c r="G3" s="6">
        <f t="shared" ref="G3:O3" si="1">F3+1</f>
        <v>2019</v>
      </c>
      <c r="H3" s="6">
        <f t="shared" si="1"/>
        <v>2020</v>
      </c>
      <c r="I3" s="6">
        <f t="shared" si="1"/>
        <v>2021</v>
      </c>
      <c r="J3" s="6">
        <f t="shared" si="1"/>
        <v>2022</v>
      </c>
      <c r="K3" s="7">
        <f t="shared" si="1"/>
        <v>2023</v>
      </c>
      <c r="L3" s="8">
        <f t="shared" si="1"/>
        <v>2024</v>
      </c>
      <c r="M3" s="8">
        <f t="shared" si="1"/>
        <v>2025</v>
      </c>
      <c r="N3" s="8">
        <f t="shared" si="1"/>
        <v>2026</v>
      </c>
      <c r="O3" s="8">
        <f t="shared" si="1"/>
        <v>2027</v>
      </c>
    </row>
    <row r="4" spans="1:30" ht="13.2">
      <c r="A4" s="9"/>
      <c r="B4" s="9" t="s">
        <v>2</v>
      </c>
      <c r="C4" s="10"/>
      <c r="D4" s="10"/>
      <c r="E4" s="10">
        <v>1601</v>
      </c>
      <c r="F4" s="10">
        <v>1705</v>
      </c>
      <c r="G4" s="10">
        <v>1777</v>
      </c>
      <c r="H4" s="10">
        <v>1639</v>
      </c>
      <c r="I4" s="10">
        <v>2080</v>
      </c>
      <c r="J4" s="10">
        <v>4575</v>
      </c>
      <c r="K4" s="11">
        <f t="shared" ref="K4:O4" si="2">J4*(1+K5)</f>
        <v>4712.25</v>
      </c>
      <c r="L4" s="12">
        <f t="shared" si="2"/>
        <v>4853.6175000000003</v>
      </c>
      <c r="M4" s="12">
        <f t="shared" si="2"/>
        <v>4999.2260250000008</v>
      </c>
      <c r="N4" s="12">
        <f t="shared" si="2"/>
        <v>5149.2028057500011</v>
      </c>
      <c r="O4" s="12">
        <f t="shared" si="2"/>
        <v>5303.6788899225012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>
      <c r="A5" s="13"/>
      <c r="B5" s="13" t="s">
        <v>3</v>
      </c>
      <c r="C5" s="14"/>
      <c r="D5" s="14"/>
      <c r="E5" s="14"/>
      <c r="F5" s="15">
        <f t="shared" ref="F5:J5" si="3">F4/E4-1</f>
        <v>6.4959400374765774E-2</v>
      </c>
      <c r="G5" s="15">
        <f t="shared" si="3"/>
        <v>4.2228739002932558E-2</v>
      </c>
      <c r="H5" s="15">
        <f t="shared" si="3"/>
        <v>-7.7658975801913388E-2</v>
      </c>
      <c r="I5" s="15">
        <f t="shared" si="3"/>
        <v>0.26906650396583287</v>
      </c>
      <c r="J5" s="15">
        <f t="shared" si="3"/>
        <v>1.1995192307692308</v>
      </c>
      <c r="K5" s="16">
        <v>0.03</v>
      </c>
      <c r="L5" s="17">
        <v>0.03</v>
      </c>
      <c r="M5" s="17">
        <v>0.03</v>
      </c>
      <c r="N5" s="17">
        <v>0.03</v>
      </c>
      <c r="O5" s="17">
        <v>0.03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3.2">
      <c r="A6" s="9"/>
      <c r="B6" s="9" t="s">
        <v>4</v>
      </c>
      <c r="C6" s="10"/>
      <c r="D6" s="10"/>
      <c r="E6" s="10">
        <v>151</v>
      </c>
      <c r="F6" s="10">
        <v>178</v>
      </c>
      <c r="G6" s="10">
        <v>195</v>
      </c>
      <c r="H6" s="10">
        <v>8</v>
      </c>
      <c r="I6" s="10">
        <v>207</v>
      </c>
      <c r="J6" s="10">
        <v>256</v>
      </c>
      <c r="K6" s="18">
        <f t="shared" ref="K6:O6" si="4">K4*K7</f>
        <v>329.85750000000002</v>
      </c>
      <c r="L6" s="10">
        <f t="shared" si="4"/>
        <v>388.28940000000006</v>
      </c>
      <c r="M6" s="10">
        <f t="shared" si="4"/>
        <v>449.93034225000008</v>
      </c>
      <c r="N6" s="10">
        <f t="shared" si="4"/>
        <v>463.42825251750008</v>
      </c>
      <c r="O6" s="10">
        <f t="shared" si="4"/>
        <v>477.3311000930251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3.2">
      <c r="A7" s="19"/>
      <c r="B7" s="19" t="s">
        <v>5</v>
      </c>
      <c r="C7" s="15"/>
      <c r="D7" s="15"/>
      <c r="E7" s="15">
        <f t="shared" ref="E7:J7" si="5">E6/E4</f>
        <v>9.4316052467207992E-2</v>
      </c>
      <c r="F7" s="15">
        <f t="shared" si="5"/>
        <v>0.10439882697947214</v>
      </c>
      <c r="G7" s="15">
        <f t="shared" si="5"/>
        <v>0.10973550928531232</v>
      </c>
      <c r="H7" s="15">
        <f t="shared" si="5"/>
        <v>4.881025015253203E-3</v>
      </c>
      <c r="I7" s="15">
        <f t="shared" si="5"/>
        <v>9.9519230769230763E-2</v>
      </c>
      <c r="J7" s="15">
        <f t="shared" si="5"/>
        <v>5.5956284153005464E-2</v>
      </c>
      <c r="K7" s="16">
        <v>7.0000000000000007E-2</v>
      </c>
      <c r="L7" s="17">
        <v>0.08</v>
      </c>
      <c r="M7" s="17">
        <v>0.09</v>
      </c>
      <c r="N7" s="17">
        <v>0.09</v>
      </c>
      <c r="O7" s="17">
        <v>0.09</v>
      </c>
      <c r="P7" s="15"/>
      <c r="Q7" s="15"/>
      <c r="R7" s="20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3.2">
      <c r="A8" s="19"/>
      <c r="B8" s="19" t="s">
        <v>6</v>
      </c>
      <c r="C8" s="15"/>
      <c r="D8" s="15"/>
      <c r="E8" s="15"/>
      <c r="F8" s="15">
        <f t="shared" ref="F8:G8" si="6">(F6-E6)/(F4-E4)</f>
        <v>0.25961538461538464</v>
      </c>
      <c r="G8" s="15">
        <f t="shared" si="6"/>
        <v>0.2361111111111111</v>
      </c>
      <c r="H8" s="15">
        <f>(H6-G6)/(H4-G4)*-1</f>
        <v>-1.355072463768116</v>
      </c>
      <c r="I8" s="15">
        <f t="shared" ref="I8:J8" si="7">(I6-H6)/(I4-H4)</f>
        <v>0.4512471655328798</v>
      </c>
      <c r="J8" s="15">
        <f t="shared" si="7"/>
        <v>1.9639278557114229E-2</v>
      </c>
      <c r="K8" s="21">
        <f t="shared" ref="K8:O8" si="8">(K7-J7)/(K4-J4)</f>
        <v>1.0232215553365787E-4</v>
      </c>
      <c r="L8" s="15">
        <f t="shared" si="8"/>
        <v>7.0737616496011979E-5</v>
      </c>
      <c r="M8" s="15">
        <f t="shared" si="8"/>
        <v>6.8677297568943559E-5</v>
      </c>
      <c r="N8" s="15">
        <f t="shared" si="8"/>
        <v>0</v>
      </c>
      <c r="O8" s="15">
        <f t="shared" si="8"/>
        <v>0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3.2">
      <c r="A9" s="22"/>
      <c r="B9" s="22" t="s">
        <v>7</v>
      </c>
      <c r="C9" s="23"/>
      <c r="D9" s="23"/>
      <c r="E9" s="23">
        <v>12</v>
      </c>
      <c r="F9" s="23">
        <f>197-F6</f>
        <v>19</v>
      </c>
      <c r="G9" s="23">
        <v>33</v>
      </c>
      <c r="H9" s="23">
        <v>119</v>
      </c>
      <c r="I9" s="23">
        <v>74</v>
      </c>
      <c r="J9" s="23">
        <f>J75</f>
        <v>193</v>
      </c>
      <c r="K9" s="24">
        <f t="shared" ref="K9:O9" si="9">K10*K4</f>
        <v>188.49</v>
      </c>
      <c r="L9" s="23">
        <f t="shared" si="9"/>
        <v>194.14470000000003</v>
      </c>
      <c r="M9" s="23">
        <f t="shared" si="9"/>
        <v>199.96904100000003</v>
      </c>
      <c r="N9" s="23">
        <f t="shared" si="9"/>
        <v>205.96811223000006</v>
      </c>
      <c r="O9" s="23">
        <f t="shared" si="9"/>
        <v>212.14715559690006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3.2">
      <c r="A10" s="13"/>
      <c r="B10" s="13" t="s">
        <v>8</v>
      </c>
      <c r="C10" s="14"/>
      <c r="D10" s="14"/>
      <c r="E10" s="14">
        <f t="shared" ref="E10:J10" si="10">E9/E4</f>
        <v>7.4953154278575894E-3</v>
      </c>
      <c r="F10" s="14">
        <f t="shared" si="10"/>
        <v>1.1143695014662757E-2</v>
      </c>
      <c r="G10" s="14">
        <f t="shared" si="10"/>
        <v>1.8570624648283626E-2</v>
      </c>
      <c r="H10" s="14">
        <f t="shared" si="10"/>
        <v>7.2605247101891396E-2</v>
      </c>
      <c r="I10" s="14">
        <f t="shared" si="10"/>
        <v>3.5576923076923075E-2</v>
      </c>
      <c r="J10" s="25">
        <f t="shared" si="10"/>
        <v>4.2185792349726775E-2</v>
      </c>
      <c r="K10" s="26">
        <v>0.04</v>
      </c>
      <c r="L10" s="27">
        <v>0.04</v>
      </c>
      <c r="M10" s="27">
        <v>0.04</v>
      </c>
      <c r="N10" s="27">
        <v>0.04</v>
      </c>
      <c r="O10" s="27">
        <v>0.04</v>
      </c>
      <c r="P10" s="25"/>
      <c r="Q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3.2">
      <c r="A11" s="28"/>
      <c r="B11" s="22" t="s">
        <v>9</v>
      </c>
      <c r="C11" s="23"/>
      <c r="D11" s="23"/>
      <c r="E11" s="23">
        <v>6</v>
      </c>
      <c r="F11" s="23">
        <v>9</v>
      </c>
      <c r="G11" s="23">
        <v>5</v>
      </c>
      <c r="H11" s="23">
        <v>2</v>
      </c>
      <c r="I11" s="23">
        <v>6</v>
      </c>
      <c r="J11" s="23">
        <v>25</v>
      </c>
      <c r="K11" s="24">
        <f t="shared" ref="K11:O11" si="11">K12*K4</f>
        <v>23.561250000000001</v>
      </c>
      <c r="L11" s="23">
        <f t="shared" si="11"/>
        <v>24.268087500000004</v>
      </c>
      <c r="M11" s="23">
        <f t="shared" si="11"/>
        <v>24.996130125000004</v>
      </c>
      <c r="N11" s="23">
        <f t="shared" si="11"/>
        <v>25.746014028750007</v>
      </c>
      <c r="O11" s="23">
        <f t="shared" si="11"/>
        <v>26.518394449612508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3.2">
      <c r="A12" s="13"/>
      <c r="B12" s="13" t="s">
        <v>8</v>
      </c>
      <c r="C12" s="14"/>
      <c r="D12" s="14"/>
      <c r="E12" s="14">
        <f t="shared" ref="E12:J12" si="12">E11/E4</f>
        <v>3.7476577139287947E-3</v>
      </c>
      <c r="F12" s="14">
        <f t="shared" si="12"/>
        <v>5.2785923753665689E-3</v>
      </c>
      <c r="G12" s="14">
        <f t="shared" si="12"/>
        <v>2.8137310073157004E-3</v>
      </c>
      <c r="H12" s="14">
        <f t="shared" si="12"/>
        <v>1.2202562538133007E-3</v>
      </c>
      <c r="I12" s="14">
        <f t="shared" si="12"/>
        <v>2.8846153846153848E-3</v>
      </c>
      <c r="J12" s="14">
        <f t="shared" si="12"/>
        <v>5.4644808743169399E-3</v>
      </c>
      <c r="K12" s="26">
        <v>5.0000000000000001E-3</v>
      </c>
      <c r="L12" s="27">
        <v>5.0000000000000001E-3</v>
      </c>
      <c r="M12" s="27">
        <v>5.0000000000000001E-3</v>
      </c>
      <c r="N12" s="27">
        <v>5.0000000000000001E-3</v>
      </c>
      <c r="O12" s="27">
        <v>5.0000000000000001E-3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3.2">
      <c r="A13" s="30"/>
      <c r="B13" s="30" t="s">
        <v>10</v>
      </c>
      <c r="C13" s="31"/>
      <c r="D13" s="31"/>
      <c r="E13" s="10">
        <f t="shared" ref="E13:O13" si="13">((E6*(1-0.21)+E9-E11))</f>
        <v>125.29000000000002</v>
      </c>
      <c r="F13" s="10">
        <f t="shared" si="13"/>
        <v>150.62</v>
      </c>
      <c r="G13" s="10">
        <f t="shared" si="13"/>
        <v>182.05</v>
      </c>
      <c r="H13" s="10">
        <f t="shared" si="13"/>
        <v>123.32</v>
      </c>
      <c r="I13" s="10">
        <f t="shared" si="13"/>
        <v>231.53</v>
      </c>
      <c r="J13" s="10">
        <f t="shared" si="13"/>
        <v>370.24</v>
      </c>
      <c r="K13" s="18">
        <f t="shared" si="13"/>
        <v>425.51617499999998</v>
      </c>
      <c r="L13" s="10">
        <f t="shared" si="13"/>
        <v>476.62523850000014</v>
      </c>
      <c r="M13" s="10">
        <f t="shared" si="13"/>
        <v>530.41788125250002</v>
      </c>
      <c r="N13" s="10">
        <f t="shared" si="13"/>
        <v>546.33041769007514</v>
      </c>
      <c r="O13" s="10">
        <f t="shared" si="13"/>
        <v>562.72033022077744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3.2">
      <c r="A14" s="32"/>
      <c r="B14" s="32" t="s">
        <v>11</v>
      </c>
      <c r="C14" s="33"/>
      <c r="D14" s="33"/>
      <c r="E14" s="33"/>
      <c r="F14" s="25">
        <f t="shared" ref="F14:O14" si="14">F13/E13-1</f>
        <v>0.20217096336499307</v>
      </c>
      <c r="G14" s="25">
        <f t="shared" si="14"/>
        <v>0.20867082724737762</v>
      </c>
      <c r="H14" s="25">
        <f t="shared" si="14"/>
        <v>-0.32260368030760789</v>
      </c>
      <c r="I14" s="25">
        <f t="shared" si="14"/>
        <v>0.87747324035030827</v>
      </c>
      <c r="J14" s="25">
        <f t="shared" si="14"/>
        <v>0.59910162829870872</v>
      </c>
      <c r="K14" s="29">
        <f t="shared" si="14"/>
        <v>0.1492982254753672</v>
      </c>
      <c r="L14" s="25">
        <f t="shared" si="14"/>
        <v>0.12011074197120752</v>
      </c>
      <c r="M14" s="25">
        <f t="shared" si="14"/>
        <v>0.11286150712830922</v>
      </c>
      <c r="N14" s="25">
        <f t="shared" si="14"/>
        <v>3.0000000000000249E-2</v>
      </c>
      <c r="O14" s="25">
        <f t="shared" si="14"/>
        <v>3.0000000000000027E-2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3.2">
      <c r="A15" s="19"/>
      <c r="B15" s="19" t="s">
        <v>12</v>
      </c>
      <c r="C15" s="15"/>
      <c r="D15" s="15"/>
      <c r="E15" s="15">
        <f t="shared" ref="E15:O15" si="15">E13/E4</f>
        <v>7.8257339163023118E-2</v>
      </c>
      <c r="F15" s="15">
        <f t="shared" si="15"/>
        <v>8.8340175953079178E-2</v>
      </c>
      <c r="G15" s="15">
        <f t="shared" si="15"/>
        <v>0.10244794597636467</v>
      </c>
      <c r="H15" s="15">
        <f t="shared" si="15"/>
        <v>7.5241000610128117E-2</v>
      </c>
      <c r="I15" s="15">
        <f t="shared" si="15"/>
        <v>0.11131249999999999</v>
      </c>
      <c r="J15" s="15">
        <f t="shared" si="15"/>
        <v>8.0926775956284155E-2</v>
      </c>
      <c r="K15" s="21">
        <f t="shared" si="15"/>
        <v>9.0299999999999991E-2</v>
      </c>
      <c r="L15" s="15">
        <f t="shared" si="15"/>
        <v>9.8200000000000023E-2</v>
      </c>
      <c r="M15" s="15">
        <f t="shared" si="15"/>
        <v>0.10609999999999999</v>
      </c>
      <c r="N15" s="15">
        <f t="shared" si="15"/>
        <v>0.1061</v>
      </c>
      <c r="O15" s="15">
        <f t="shared" si="15"/>
        <v>0.10610000000000001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3.2">
      <c r="A16" s="19"/>
      <c r="B16" s="19" t="s">
        <v>13</v>
      </c>
      <c r="C16" s="15"/>
      <c r="D16" s="15"/>
      <c r="E16" s="15"/>
      <c r="F16" s="15">
        <f t="shared" ref="F16:O16" si="16">(F13-E13)/(F4-E4)</f>
        <v>0.24355769230769214</v>
      </c>
      <c r="G16" s="15">
        <f t="shared" si="16"/>
        <v>0.43652777777777785</v>
      </c>
      <c r="H16" s="15">
        <f t="shared" si="16"/>
        <v>0.42557971014492768</v>
      </c>
      <c r="I16" s="15">
        <f t="shared" si="16"/>
        <v>0.24537414965986395</v>
      </c>
      <c r="J16" s="15">
        <f t="shared" si="16"/>
        <v>5.5595190380761529E-2</v>
      </c>
      <c r="K16" s="21">
        <f t="shared" si="16"/>
        <v>0.40274080145719465</v>
      </c>
      <c r="L16" s="15">
        <f t="shared" si="16"/>
        <v>0.36153333333333371</v>
      </c>
      <c r="M16" s="15">
        <f t="shared" si="16"/>
        <v>0.36943333333333117</v>
      </c>
      <c r="N16" s="15">
        <f t="shared" si="16"/>
        <v>0.1061000000000006</v>
      </c>
      <c r="O16" s="15">
        <f t="shared" si="16"/>
        <v>0.10610000000000026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3.2">
      <c r="A17" s="30"/>
      <c r="B17" s="30"/>
      <c r="C17" s="31"/>
      <c r="D17" s="31"/>
      <c r="E17" s="31"/>
      <c r="F17" s="31"/>
      <c r="K17" s="1"/>
    </row>
    <row r="18" spans="1:30" ht="13.2">
      <c r="A18" s="9"/>
      <c r="B18" s="9" t="s">
        <v>14</v>
      </c>
      <c r="C18" s="10"/>
      <c r="D18" s="10"/>
      <c r="E18" s="10">
        <v>1501</v>
      </c>
      <c r="F18" s="10">
        <v>2082</v>
      </c>
      <c r="G18" s="10">
        <v>2330</v>
      </c>
      <c r="H18" s="10">
        <v>1964</v>
      </c>
      <c r="I18" s="10">
        <v>1930</v>
      </c>
      <c r="J18" s="10">
        <v>2030</v>
      </c>
      <c r="K18" s="18">
        <f t="shared" ref="K18:O18" si="17">J18*(1+K19)</f>
        <v>2040.1499999999999</v>
      </c>
      <c r="L18" s="10">
        <f t="shared" si="17"/>
        <v>2050.3507499999996</v>
      </c>
      <c r="M18" s="10">
        <f t="shared" si="17"/>
        <v>2060.6025037499994</v>
      </c>
      <c r="N18" s="10">
        <f t="shared" si="17"/>
        <v>2070.9055162687491</v>
      </c>
      <c r="O18" s="10">
        <f t="shared" si="17"/>
        <v>2081.2600438500926</v>
      </c>
      <c r="P18" s="3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3.2">
      <c r="A19" s="13"/>
      <c r="B19" s="13" t="s">
        <v>3</v>
      </c>
      <c r="C19" s="14"/>
      <c r="D19" s="14"/>
      <c r="E19" s="14"/>
      <c r="F19" s="14">
        <f t="shared" ref="F19:J19" si="18">F18/E18-1</f>
        <v>0.38707528314457029</v>
      </c>
      <c r="G19" s="15">
        <f t="shared" si="18"/>
        <v>0.11911623439000962</v>
      </c>
      <c r="H19" s="15">
        <f t="shared" si="18"/>
        <v>-0.15708154506437766</v>
      </c>
      <c r="I19" s="15">
        <f t="shared" si="18"/>
        <v>-1.731160896130346E-2</v>
      </c>
      <c r="J19" s="15">
        <f t="shared" si="18"/>
        <v>5.1813471502590636E-2</v>
      </c>
      <c r="K19" s="112">
        <v>5.0000000000000001E-3</v>
      </c>
      <c r="L19" s="113">
        <v>5.0000000000000001E-3</v>
      </c>
      <c r="M19" s="113">
        <v>5.0000000000000001E-3</v>
      </c>
      <c r="N19" s="113">
        <v>5.0000000000000001E-3</v>
      </c>
      <c r="O19" s="113">
        <v>5.0000000000000001E-3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3.2">
      <c r="A20" s="9"/>
      <c r="B20" s="9" t="s">
        <v>4</v>
      </c>
      <c r="C20" s="10"/>
      <c r="D20" s="10"/>
      <c r="E20" s="10">
        <v>61</v>
      </c>
      <c r="F20" s="10">
        <v>70</v>
      </c>
      <c r="G20" s="10">
        <v>74</v>
      </c>
      <c r="H20" s="10">
        <v>-56</v>
      </c>
      <c r="I20" s="10">
        <v>78</v>
      </c>
      <c r="J20" s="10">
        <v>97</v>
      </c>
      <c r="K20" s="18">
        <f t="shared" ref="K20:O20" si="19">K21*K18</f>
        <v>102.00749999999999</v>
      </c>
      <c r="L20" s="10">
        <f t="shared" si="19"/>
        <v>102.51753749999999</v>
      </c>
      <c r="M20" s="10">
        <f t="shared" si="19"/>
        <v>103.03012518749998</v>
      </c>
      <c r="N20" s="10">
        <f t="shared" si="19"/>
        <v>103.54527581343746</v>
      </c>
      <c r="O20" s="10">
        <f t="shared" si="19"/>
        <v>104.06300219250464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3.2">
      <c r="A21" s="19"/>
      <c r="B21" s="19" t="s">
        <v>5</v>
      </c>
      <c r="C21" s="15"/>
      <c r="D21" s="15"/>
      <c r="E21" s="15">
        <f t="shared" ref="E21:J21" si="20">E20/E18</f>
        <v>4.0639573617588277E-2</v>
      </c>
      <c r="F21" s="15">
        <f t="shared" si="20"/>
        <v>3.3621517771373677E-2</v>
      </c>
      <c r="G21" s="15">
        <f t="shared" si="20"/>
        <v>3.1759656652360517E-2</v>
      </c>
      <c r="H21" s="15">
        <f t="shared" si="20"/>
        <v>-2.8513238289205704E-2</v>
      </c>
      <c r="I21" s="15">
        <f t="shared" si="20"/>
        <v>4.0414507772020727E-2</v>
      </c>
      <c r="J21" s="15">
        <f t="shared" si="20"/>
        <v>4.7783251231527095E-2</v>
      </c>
      <c r="K21" s="16">
        <v>0.05</v>
      </c>
      <c r="L21" s="17">
        <v>0.05</v>
      </c>
      <c r="M21" s="17">
        <v>0.05</v>
      </c>
      <c r="N21" s="17">
        <v>0.05</v>
      </c>
      <c r="O21" s="17">
        <v>0.05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3.2">
      <c r="A22" s="19"/>
      <c r="B22" s="19" t="s">
        <v>6</v>
      </c>
      <c r="C22" s="15"/>
      <c r="D22" s="15"/>
      <c r="E22" s="15"/>
      <c r="F22" s="15">
        <f t="shared" ref="F22:G22" si="21">(F20-E20)/(F18-E18)</f>
        <v>1.549053356282272E-2</v>
      </c>
      <c r="G22" s="15">
        <f t="shared" si="21"/>
        <v>1.6129032258064516E-2</v>
      </c>
      <c r="H22" s="15">
        <f>(H20-G20)/(H18-G18)*-1</f>
        <v>-0.3551912568306011</v>
      </c>
      <c r="I22" s="15">
        <f t="shared" ref="I22:O22" si="22">(I20-H20)/(I18-H18)</f>
        <v>-3.9411764705882355</v>
      </c>
      <c r="J22" s="15">
        <f t="shared" si="22"/>
        <v>0.19</v>
      </c>
      <c r="K22" s="21">
        <f t="shared" si="22"/>
        <v>0.49334975369458722</v>
      </c>
      <c r="L22" s="15">
        <f t="shared" si="22"/>
        <v>5.0000000000000835E-2</v>
      </c>
      <c r="M22" s="15">
        <f t="shared" si="22"/>
        <v>4.9999999999999725E-2</v>
      </c>
      <c r="N22" s="15">
        <f t="shared" si="22"/>
        <v>4.9999999999999448E-2</v>
      </c>
      <c r="O22" s="15">
        <f t="shared" si="22"/>
        <v>5.0000000000000822E-2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3.2">
      <c r="A23" s="22"/>
      <c r="B23" s="22" t="s">
        <v>7</v>
      </c>
      <c r="C23" s="23"/>
      <c r="D23" s="23"/>
      <c r="E23" s="23">
        <v>55</v>
      </c>
      <c r="F23" s="23">
        <v>87</v>
      </c>
      <c r="G23" s="23">
        <v>104</v>
      </c>
      <c r="H23" s="23">
        <v>136</v>
      </c>
      <c r="I23" s="23">
        <v>118</v>
      </c>
      <c r="J23" s="23">
        <f>J77</f>
        <v>102</v>
      </c>
      <c r="K23" s="24">
        <f t="shared" ref="K23:O23" si="23">K24*K18</f>
        <v>102.00749999999999</v>
      </c>
      <c r="L23" s="23">
        <f t="shared" si="23"/>
        <v>102.51753749999999</v>
      </c>
      <c r="M23" s="23">
        <f t="shared" si="23"/>
        <v>103.03012518749998</v>
      </c>
      <c r="N23" s="23">
        <f t="shared" si="23"/>
        <v>103.54527581343746</v>
      </c>
      <c r="O23" s="23">
        <f t="shared" si="23"/>
        <v>104.06300219250464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3.2">
      <c r="A24" s="13"/>
      <c r="B24" s="13" t="s">
        <v>8</v>
      </c>
      <c r="C24" s="14"/>
      <c r="D24" s="14"/>
      <c r="E24" s="14">
        <f t="shared" ref="E24:J24" si="24">E23/E18</f>
        <v>3.6642238507661559E-2</v>
      </c>
      <c r="F24" s="14">
        <f t="shared" si="24"/>
        <v>4.1786743515850142E-2</v>
      </c>
      <c r="G24" s="14">
        <f t="shared" si="24"/>
        <v>4.4635193133047209E-2</v>
      </c>
      <c r="H24" s="14">
        <f t="shared" si="24"/>
        <v>6.9246435845213852E-2</v>
      </c>
      <c r="I24" s="14">
        <f t="shared" si="24"/>
        <v>6.1139896373056994E-2</v>
      </c>
      <c r="J24" s="14">
        <f t="shared" si="24"/>
        <v>5.024630541871921E-2</v>
      </c>
      <c r="K24" s="35">
        <v>0.05</v>
      </c>
      <c r="L24" s="14">
        <v>0.05</v>
      </c>
      <c r="M24" s="14">
        <v>0.05</v>
      </c>
      <c r="N24" s="14">
        <v>0.05</v>
      </c>
      <c r="O24" s="14">
        <v>0.05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3.2">
      <c r="A25" s="22"/>
      <c r="B25" s="22" t="s">
        <v>15</v>
      </c>
      <c r="C25" s="23"/>
      <c r="D25" s="23"/>
      <c r="E25" s="23">
        <v>26</v>
      </c>
      <c r="F25" s="23">
        <v>64</v>
      </c>
      <c r="G25" s="23">
        <v>58</v>
      </c>
      <c r="H25" s="23">
        <v>34</v>
      </c>
      <c r="I25" s="23">
        <v>48</v>
      </c>
      <c r="J25" s="23">
        <v>49</v>
      </c>
      <c r="K25" s="24">
        <f t="shared" ref="K25:O25" si="25">K26*K18</f>
        <v>51.003749999999997</v>
      </c>
      <c r="L25" s="23">
        <f t="shared" si="25"/>
        <v>51.258768749999994</v>
      </c>
      <c r="M25" s="23">
        <f t="shared" si="25"/>
        <v>51.515062593749988</v>
      </c>
      <c r="N25" s="23">
        <f t="shared" si="25"/>
        <v>51.772637906718728</v>
      </c>
      <c r="O25" s="23">
        <f t="shared" si="25"/>
        <v>52.03150109625232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3.2">
      <c r="A26" s="13"/>
      <c r="B26" s="13" t="s">
        <v>8</v>
      </c>
      <c r="C26" s="14"/>
      <c r="D26" s="14"/>
      <c r="E26" s="14">
        <f t="shared" ref="E26:J26" si="26">E25/E18</f>
        <v>1.7321785476349102E-2</v>
      </c>
      <c r="F26" s="14">
        <f t="shared" si="26"/>
        <v>3.073967339097022E-2</v>
      </c>
      <c r="G26" s="14">
        <f t="shared" si="26"/>
        <v>2.4892703862660945E-2</v>
      </c>
      <c r="H26" s="14">
        <f t="shared" si="26"/>
        <v>1.7311608961303463E-2</v>
      </c>
      <c r="I26" s="14">
        <f t="shared" si="26"/>
        <v>2.4870466321243522E-2</v>
      </c>
      <c r="J26" s="14">
        <f t="shared" si="26"/>
        <v>2.4137931034482758E-2</v>
      </c>
      <c r="K26" s="36">
        <v>2.5000000000000001E-2</v>
      </c>
      <c r="L26" s="37">
        <v>2.5000000000000001E-2</v>
      </c>
      <c r="M26" s="37">
        <v>2.5000000000000001E-2</v>
      </c>
      <c r="N26" s="37">
        <v>2.5000000000000001E-2</v>
      </c>
      <c r="O26" s="37">
        <v>2.5000000000000001E-2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3.2">
      <c r="A27" s="30"/>
      <c r="B27" s="30" t="s">
        <v>16</v>
      </c>
      <c r="C27" s="31"/>
      <c r="D27" s="31"/>
      <c r="E27" s="10">
        <f t="shared" ref="E27:O27" si="27">(E20*(1-0.21))+E23-E25</f>
        <v>77.19</v>
      </c>
      <c r="F27" s="10">
        <f t="shared" si="27"/>
        <v>78.300000000000011</v>
      </c>
      <c r="G27" s="10">
        <f t="shared" si="27"/>
        <v>104.46000000000001</v>
      </c>
      <c r="H27" s="10">
        <f t="shared" si="27"/>
        <v>57.759999999999991</v>
      </c>
      <c r="I27" s="10">
        <f t="shared" si="27"/>
        <v>131.62</v>
      </c>
      <c r="J27" s="10">
        <f t="shared" si="27"/>
        <v>129.63</v>
      </c>
      <c r="K27" s="18">
        <f t="shared" si="27"/>
        <v>131.589675</v>
      </c>
      <c r="L27" s="10">
        <f t="shared" si="27"/>
        <v>132.24762337499999</v>
      </c>
      <c r="M27" s="10">
        <f t="shared" si="27"/>
        <v>132.90886149187497</v>
      </c>
      <c r="N27" s="10">
        <f t="shared" si="27"/>
        <v>133.57340579933432</v>
      </c>
      <c r="O27" s="10">
        <f t="shared" si="27"/>
        <v>134.24127282833098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3.2">
      <c r="A28" s="32"/>
      <c r="B28" s="32" t="s">
        <v>11</v>
      </c>
      <c r="C28" s="33"/>
      <c r="D28" s="33"/>
      <c r="E28" s="25"/>
      <c r="F28" s="25">
        <f t="shared" ref="F28:O28" si="28">F27/E27-1</f>
        <v>1.438010104935894E-2</v>
      </c>
      <c r="G28" s="25">
        <f t="shared" si="28"/>
        <v>0.33409961685823752</v>
      </c>
      <c r="H28" s="25">
        <f t="shared" si="28"/>
        <v>-0.44706107600995604</v>
      </c>
      <c r="I28" s="25">
        <f t="shared" si="28"/>
        <v>1.2787396121883661</v>
      </c>
      <c r="J28" s="25">
        <f t="shared" si="28"/>
        <v>-1.5119282783771504E-2</v>
      </c>
      <c r="K28" s="29">
        <f t="shared" si="28"/>
        <v>1.5117449664429516E-2</v>
      </c>
      <c r="L28" s="25">
        <f t="shared" si="28"/>
        <v>4.9999999999998934E-3</v>
      </c>
      <c r="M28" s="25">
        <f t="shared" si="28"/>
        <v>4.9999999999998934E-3</v>
      </c>
      <c r="N28" s="25">
        <f t="shared" si="28"/>
        <v>4.9999999999998934E-3</v>
      </c>
      <c r="O28" s="25">
        <f t="shared" si="28"/>
        <v>4.9999999999998934E-3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13.2">
      <c r="A29" s="19"/>
      <c r="B29" s="19" t="s">
        <v>12</v>
      </c>
      <c r="C29" s="15"/>
      <c r="D29" s="15"/>
      <c r="E29" s="15">
        <f t="shared" ref="E29:O29" si="29">E27/E18</f>
        <v>5.1425716189207195E-2</v>
      </c>
      <c r="F29" s="15">
        <f t="shared" si="29"/>
        <v>3.7608069164265137E-2</v>
      </c>
      <c r="G29" s="15">
        <f t="shared" si="29"/>
        <v>4.483261802575108E-2</v>
      </c>
      <c r="H29" s="15">
        <f t="shared" si="29"/>
        <v>2.9409368635437878E-2</v>
      </c>
      <c r="I29" s="15">
        <f t="shared" si="29"/>
        <v>6.8196891191709852E-2</v>
      </c>
      <c r="J29" s="15">
        <f t="shared" si="29"/>
        <v>6.3857142857142848E-2</v>
      </c>
      <c r="K29" s="21">
        <f t="shared" si="29"/>
        <v>6.4500000000000002E-2</v>
      </c>
      <c r="L29" s="15">
        <f t="shared" si="29"/>
        <v>6.4500000000000002E-2</v>
      </c>
      <c r="M29" s="15">
        <f t="shared" si="29"/>
        <v>6.4500000000000002E-2</v>
      </c>
      <c r="N29" s="15">
        <f t="shared" si="29"/>
        <v>6.4500000000000002E-2</v>
      </c>
      <c r="O29" s="15">
        <f t="shared" si="29"/>
        <v>6.4500000000000002E-2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2">
      <c r="A30" s="19"/>
      <c r="B30" s="19" t="s">
        <v>13</v>
      </c>
      <c r="C30" s="15"/>
      <c r="D30" s="15"/>
      <c r="E30" s="15"/>
      <c r="F30" s="15">
        <f t="shared" ref="F30:O30" si="30">(F27-E27)/(F18-E18)</f>
        <v>1.9104991394148256E-3</v>
      </c>
      <c r="G30" s="15">
        <f t="shared" si="30"/>
        <v>0.10548387096774192</v>
      </c>
      <c r="H30" s="15">
        <f t="shared" si="30"/>
        <v>0.12759562841530059</v>
      </c>
      <c r="I30" s="15">
        <f t="shared" si="30"/>
        <v>-2.172352941176471</v>
      </c>
      <c r="J30" s="15">
        <f t="shared" si="30"/>
        <v>-1.9900000000000091E-2</v>
      </c>
      <c r="K30" s="21">
        <f t="shared" si="30"/>
        <v>0.19307142857143159</v>
      </c>
      <c r="L30" s="15">
        <f t="shared" si="30"/>
        <v>6.4500000000000585E-2</v>
      </c>
      <c r="M30" s="15">
        <f t="shared" si="30"/>
        <v>6.4499999999999599E-2</v>
      </c>
      <c r="N30" s="15">
        <f t="shared" si="30"/>
        <v>6.449999999999953E-2</v>
      </c>
      <c r="O30" s="15">
        <f t="shared" si="30"/>
        <v>6.4499999999999655E-2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3.2">
      <c r="K31" s="1"/>
    </row>
    <row r="32" spans="1:30" ht="13.2">
      <c r="A32" s="10"/>
      <c r="B32" s="10" t="s">
        <v>17</v>
      </c>
      <c r="C32" s="10"/>
      <c r="D32" s="10"/>
      <c r="E32" s="10">
        <v>-57</v>
      </c>
      <c r="F32" s="10">
        <v>-59</v>
      </c>
      <c r="G32" s="10">
        <v>-15</v>
      </c>
      <c r="H32" s="10">
        <v>-16</v>
      </c>
      <c r="I32" s="10">
        <v>-70</v>
      </c>
      <c r="J32" s="10">
        <v>-47</v>
      </c>
      <c r="K32" s="38">
        <v>-50</v>
      </c>
      <c r="L32" s="39">
        <v>-50</v>
      </c>
      <c r="M32" s="39">
        <v>-50</v>
      </c>
      <c r="N32" s="39">
        <v>-50</v>
      </c>
      <c r="O32" s="39">
        <v>-50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3.2">
      <c r="A33" s="31"/>
      <c r="B33" s="9" t="s">
        <v>4</v>
      </c>
      <c r="C33" s="31"/>
      <c r="D33" s="31"/>
      <c r="E33" s="10">
        <v>-89</v>
      </c>
      <c r="F33" s="10">
        <v>-86</v>
      </c>
      <c r="G33" s="10">
        <v>-328</v>
      </c>
      <c r="H33" s="10">
        <v>-118</v>
      </c>
      <c r="I33" s="10">
        <v>-149</v>
      </c>
      <c r="J33" s="10">
        <v>-191</v>
      </c>
      <c r="K33" s="38">
        <v>-120</v>
      </c>
      <c r="L33" s="39">
        <v>-125</v>
      </c>
      <c r="M33" s="39">
        <v>-130</v>
      </c>
      <c r="N33" s="39">
        <v>-135</v>
      </c>
      <c r="O33" s="39">
        <v>-145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3.2">
      <c r="A34" s="23"/>
      <c r="B34" s="22" t="s">
        <v>7</v>
      </c>
      <c r="C34" s="23"/>
      <c r="D34" s="23"/>
      <c r="E34" s="23">
        <v>2</v>
      </c>
      <c r="F34" s="23">
        <v>4</v>
      </c>
      <c r="G34" s="23">
        <v>10</v>
      </c>
      <c r="H34" s="23">
        <v>8</v>
      </c>
      <c r="I34" s="23">
        <v>10</v>
      </c>
      <c r="J34" s="23">
        <v>9</v>
      </c>
      <c r="K34" s="40">
        <v>10</v>
      </c>
      <c r="L34" s="41">
        <v>10</v>
      </c>
      <c r="M34" s="41">
        <v>10</v>
      </c>
      <c r="N34" s="41">
        <v>10</v>
      </c>
      <c r="O34" s="41">
        <v>10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ht="13.2">
      <c r="A35" s="25"/>
      <c r="B35" s="13" t="s">
        <v>8</v>
      </c>
      <c r="C35" s="25"/>
      <c r="D35" s="25"/>
      <c r="E35" s="25">
        <f t="shared" ref="E35:O35" si="31">E34/E32</f>
        <v>-3.5087719298245612E-2</v>
      </c>
      <c r="F35" s="25">
        <f t="shared" si="31"/>
        <v>-6.7796610169491525E-2</v>
      </c>
      <c r="G35" s="25">
        <f t="shared" si="31"/>
        <v>-0.66666666666666663</v>
      </c>
      <c r="H35" s="25">
        <f t="shared" si="31"/>
        <v>-0.5</v>
      </c>
      <c r="I35" s="25">
        <f t="shared" si="31"/>
        <v>-0.14285714285714285</v>
      </c>
      <c r="J35" s="25">
        <f t="shared" si="31"/>
        <v>-0.19148936170212766</v>
      </c>
      <c r="K35" s="29">
        <f t="shared" si="31"/>
        <v>-0.2</v>
      </c>
      <c r="L35" s="25">
        <f t="shared" si="31"/>
        <v>-0.2</v>
      </c>
      <c r="M35" s="25">
        <f t="shared" si="31"/>
        <v>-0.2</v>
      </c>
      <c r="N35" s="25">
        <f t="shared" si="31"/>
        <v>-0.2</v>
      </c>
      <c r="O35" s="25">
        <f t="shared" si="31"/>
        <v>-0.2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3.2">
      <c r="A36" s="23"/>
      <c r="B36" s="22" t="s">
        <v>18</v>
      </c>
      <c r="C36" s="23"/>
      <c r="D36" s="23"/>
      <c r="E36" s="23">
        <v>7</v>
      </c>
      <c r="F36" s="23">
        <v>1</v>
      </c>
      <c r="G36" s="23">
        <v>1</v>
      </c>
      <c r="H36" s="23">
        <v>2</v>
      </c>
      <c r="I36" s="23">
        <v>1</v>
      </c>
      <c r="J36" s="23">
        <v>5</v>
      </c>
      <c r="K36" s="40">
        <v>5</v>
      </c>
      <c r="L36" s="41">
        <v>5</v>
      </c>
      <c r="M36" s="41">
        <v>5</v>
      </c>
      <c r="N36" s="41">
        <v>5</v>
      </c>
      <c r="O36" s="41">
        <v>5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2">
      <c r="A37" s="25"/>
      <c r="B37" s="13" t="s">
        <v>8</v>
      </c>
      <c r="C37" s="25"/>
      <c r="D37" s="25"/>
      <c r="E37" s="25">
        <f t="shared" ref="E37:O37" si="32">E36/E32</f>
        <v>-0.12280701754385964</v>
      </c>
      <c r="F37" s="25">
        <f t="shared" si="32"/>
        <v>-1.6949152542372881E-2</v>
      </c>
      <c r="G37" s="25">
        <f t="shared" si="32"/>
        <v>-6.6666666666666666E-2</v>
      </c>
      <c r="H37" s="25">
        <f t="shared" si="32"/>
        <v>-0.125</v>
      </c>
      <c r="I37" s="25">
        <f t="shared" si="32"/>
        <v>-1.4285714285714285E-2</v>
      </c>
      <c r="J37" s="25">
        <f t="shared" si="32"/>
        <v>-0.10638297872340426</v>
      </c>
      <c r="K37" s="29">
        <f t="shared" si="32"/>
        <v>-0.1</v>
      </c>
      <c r="L37" s="25">
        <f t="shared" si="32"/>
        <v>-0.1</v>
      </c>
      <c r="M37" s="25">
        <f t="shared" si="32"/>
        <v>-0.1</v>
      </c>
      <c r="N37" s="25">
        <f t="shared" si="32"/>
        <v>-0.1</v>
      </c>
      <c r="O37" s="25">
        <f t="shared" si="32"/>
        <v>-0.1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13.2">
      <c r="B38" s="4" t="s">
        <v>19</v>
      </c>
      <c r="K38" s="29">
        <f t="shared" ref="K38:O38" si="33">(K33+K34)/K48</f>
        <v>-1.6412031511100503E-2</v>
      </c>
      <c r="L38" s="25">
        <f t="shared" si="33"/>
        <v>-1.624327238307265E-2</v>
      </c>
      <c r="M38" s="25">
        <f t="shared" si="33"/>
        <v>-1.6476844057638735E-2</v>
      </c>
      <c r="N38" s="25">
        <f t="shared" si="33"/>
        <v>-1.6690950910605552E-2</v>
      </c>
      <c r="O38" s="25">
        <f t="shared" si="33"/>
        <v>-1.7574631303621514E-2</v>
      </c>
    </row>
    <row r="39" spans="1:30" ht="13.2">
      <c r="B39" s="4"/>
      <c r="K39" s="1"/>
    </row>
    <row r="40" spans="1:30" ht="13.2">
      <c r="B40" s="4" t="s">
        <v>20</v>
      </c>
      <c r="K40" s="24">
        <f t="shared" ref="K40:O40" si="34">K41*K42</f>
        <v>159.94999999999999</v>
      </c>
      <c r="L40" s="23">
        <f t="shared" si="34"/>
        <v>225.88593749999998</v>
      </c>
      <c r="M40" s="23">
        <f t="shared" si="34"/>
        <v>273.11956375000005</v>
      </c>
      <c r="N40" s="23">
        <f t="shared" si="34"/>
        <v>318.97966760406257</v>
      </c>
      <c r="O40" s="23">
        <f t="shared" si="34"/>
        <v>346.58778890643339</v>
      </c>
    </row>
    <row r="41" spans="1:30" ht="13.2">
      <c r="B41" s="4" t="s">
        <v>21</v>
      </c>
      <c r="K41" s="24">
        <f t="shared" ref="K41:O41" si="35">J102*0.5</f>
        <v>228.5</v>
      </c>
      <c r="L41" s="23">
        <f t="shared" si="35"/>
        <v>301.18124999999998</v>
      </c>
      <c r="M41" s="23">
        <f t="shared" si="35"/>
        <v>341.39945468750005</v>
      </c>
      <c r="N41" s="23">
        <f t="shared" si="35"/>
        <v>375.27019718125001</v>
      </c>
      <c r="O41" s="23">
        <f t="shared" si="35"/>
        <v>385.09754322937039</v>
      </c>
    </row>
    <row r="42" spans="1:30" ht="13.2">
      <c r="B42" s="4" t="s">
        <v>22</v>
      </c>
      <c r="K42" s="42">
        <v>0.7</v>
      </c>
      <c r="L42" s="43">
        <v>0.75</v>
      </c>
      <c r="M42" s="43">
        <f t="shared" ref="M42:O42" si="36">L42+0.05</f>
        <v>0.8</v>
      </c>
      <c r="N42" s="43">
        <f t="shared" si="36"/>
        <v>0.85000000000000009</v>
      </c>
      <c r="O42" s="43">
        <f t="shared" si="36"/>
        <v>0.90000000000000013</v>
      </c>
    </row>
    <row r="43" spans="1:30" ht="13.2">
      <c r="B43" s="4" t="s">
        <v>23</v>
      </c>
      <c r="K43" s="44">
        <v>0.09</v>
      </c>
      <c r="L43" s="45">
        <v>0.09</v>
      </c>
      <c r="M43" s="45">
        <v>0.09</v>
      </c>
      <c r="N43" s="45">
        <v>0.09</v>
      </c>
      <c r="O43" s="45">
        <v>0.09</v>
      </c>
      <c r="P43" s="45"/>
    </row>
    <row r="44" spans="1:30" ht="13.2">
      <c r="B44" s="4" t="s">
        <v>24</v>
      </c>
      <c r="K44" s="24">
        <f t="shared" ref="K44:O44" si="37">K40*K43</f>
        <v>14.395499999999998</v>
      </c>
      <c r="L44" s="23">
        <f t="shared" si="37"/>
        <v>20.329734374999997</v>
      </c>
      <c r="M44" s="23">
        <f t="shared" si="37"/>
        <v>24.580760737500004</v>
      </c>
      <c r="N44" s="23">
        <f t="shared" si="37"/>
        <v>28.70817008436563</v>
      </c>
      <c r="O44" s="23">
        <f t="shared" si="37"/>
        <v>31.192901001579003</v>
      </c>
    </row>
    <row r="45" spans="1:30" ht="13.2">
      <c r="B45" s="4"/>
      <c r="K45" s="1"/>
    </row>
    <row r="46" spans="1:30" ht="13.2">
      <c r="B46" s="4"/>
      <c r="K46" s="1"/>
    </row>
    <row r="47" spans="1:30" ht="13.2">
      <c r="B47" s="4"/>
      <c r="K47" s="1"/>
    </row>
    <row r="48" spans="1:30" ht="13.2">
      <c r="A48" s="31"/>
      <c r="B48" s="6" t="s">
        <v>25</v>
      </c>
      <c r="C48" s="46">
        <v>2449</v>
      </c>
      <c r="D48" s="46">
        <v>2608</v>
      </c>
      <c r="E48" s="46">
        <v>3046</v>
      </c>
      <c r="F48" s="46">
        <v>3728</v>
      </c>
      <c r="G48" s="46">
        <f t="shared" ref="G48:I48" si="38">G32+G18+G4</f>
        <v>4092</v>
      </c>
      <c r="H48" s="46">
        <f t="shared" si="38"/>
        <v>3587</v>
      </c>
      <c r="I48" s="46">
        <f t="shared" si="38"/>
        <v>3940</v>
      </c>
      <c r="J48" s="46">
        <f t="shared" ref="J48:K48" si="39">J4+J18+J32</f>
        <v>6558</v>
      </c>
      <c r="K48" s="46">
        <f t="shared" si="39"/>
        <v>6702.4</v>
      </c>
      <c r="L48" s="46">
        <f t="shared" ref="L48:O48" si="40">L4+L18+L32+L40</f>
        <v>7079.8541875000001</v>
      </c>
      <c r="M48" s="46">
        <f t="shared" si="40"/>
        <v>7282.9480925000007</v>
      </c>
      <c r="N48" s="46">
        <f t="shared" si="40"/>
        <v>7489.0879896228125</v>
      </c>
      <c r="O48" s="46">
        <f t="shared" si="40"/>
        <v>7681.5267226790265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3.2">
      <c r="A49" s="25"/>
      <c r="B49" s="25" t="s">
        <v>11</v>
      </c>
      <c r="C49" s="25"/>
      <c r="D49" s="25">
        <f t="shared" ref="D49:O49" si="41">D48/C48-1</f>
        <v>6.4924458962841936E-2</v>
      </c>
      <c r="E49" s="25">
        <f t="shared" si="41"/>
        <v>0.16794478527607359</v>
      </c>
      <c r="F49" s="25">
        <f t="shared" si="41"/>
        <v>0.22390019697964547</v>
      </c>
      <c r="G49" s="25">
        <f t="shared" si="41"/>
        <v>9.7639484978540692E-2</v>
      </c>
      <c r="H49" s="25">
        <f t="shared" si="41"/>
        <v>-0.12341153470185728</v>
      </c>
      <c r="I49" s="25">
        <f t="shared" si="41"/>
        <v>9.841092835238352E-2</v>
      </c>
      <c r="J49" s="25">
        <f t="shared" si="41"/>
        <v>0.66446700507614209</v>
      </c>
      <c r="K49" s="29">
        <f t="shared" si="41"/>
        <v>2.2018908203720544E-2</v>
      </c>
      <c r="L49" s="25">
        <f t="shared" si="41"/>
        <v>5.6316272902243947E-2</v>
      </c>
      <c r="M49" s="25">
        <f t="shared" si="41"/>
        <v>2.8686170593538174E-2</v>
      </c>
      <c r="N49" s="25">
        <f t="shared" si="41"/>
        <v>2.8304457824585461E-2</v>
      </c>
      <c r="O49" s="25">
        <f t="shared" si="41"/>
        <v>2.5695883573923162E-2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13.2">
      <c r="A50" s="23"/>
      <c r="B50" s="23" t="s">
        <v>26</v>
      </c>
      <c r="C50" s="23">
        <v>1906</v>
      </c>
      <c r="D50" s="23">
        <v>2004</v>
      </c>
      <c r="E50" s="23">
        <v>2382</v>
      </c>
      <c r="F50" s="23">
        <v>2941</v>
      </c>
      <c r="G50" s="23">
        <v>3290</v>
      </c>
      <c r="H50" s="23">
        <v>2831</v>
      </c>
      <c r="I50" s="23">
        <v>3001</v>
      </c>
      <c r="J50" s="23">
        <v>4844</v>
      </c>
      <c r="K50" s="24">
        <f t="shared" ref="K50:O50" si="42">K48-K51</f>
        <v>4909.5079999999998</v>
      </c>
      <c r="L50" s="23">
        <f t="shared" si="42"/>
        <v>5164.7536297812494</v>
      </c>
      <c r="M50" s="23">
        <f t="shared" si="42"/>
        <v>5291.0617892012506</v>
      </c>
      <c r="N50" s="23">
        <f t="shared" si="42"/>
        <v>5418.3551604921049</v>
      </c>
      <c r="O50" s="23">
        <f t="shared" si="42"/>
        <v>5534.5400036902383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ht="13.2">
      <c r="B51" s="4" t="s">
        <v>27</v>
      </c>
      <c r="C51" s="23">
        <f t="shared" ref="C51:J51" si="43">C48-C50</f>
        <v>543</v>
      </c>
      <c r="D51" s="23">
        <f t="shared" si="43"/>
        <v>604</v>
      </c>
      <c r="E51" s="23">
        <f t="shared" si="43"/>
        <v>664</v>
      </c>
      <c r="F51" s="23">
        <f t="shared" si="43"/>
        <v>787</v>
      </c>
      <c r="G51" s="23">
        <f t="shared" si="43"/>
        <v>802</v>
      </c>
      <c r="H51" s="23">
        <f t="shared" si="43"/>
        <v>756</v>
      </c>
      <c r="I51" s="23">
        <f t="shared" si="43"/>
        <v>939</v>
      </c>
      <c r="J51" s="23">
        <f t="shared" si="43"/>
        <v>1714</v>
      </c>
      <c r="K51" s="24">
        <f t="shared" ref="K51:O51" si="44">K48*K52</f>
        <v>1792.8920000000001</v>
      </c>
      <c r="L51" s="23">
        <f t="shared" si="44"/>
        <v>1915.1005577187502</v>
      </c>
      <c r="M51" s="23">
        <f t="shared" si="44"/>
        <v>1991.8863032987504</v>
      </c>
      <c r="N51" s="23">
        <f t="shared" si="44"/>
        <v>2070.7328291307076</v>
      </c>
      <c r="O51" s="23">
        <f t="shared" si="44"/>
        <v>2146.9867189887882</v>
      </c>
    </row>
    <row r="52" spans="1:30" ht="13.2">
      <c r="A52" s="25"/>
      <c r="B52" s="4" t="s">
        <v>28</v>
      </c>
      <c r="C52" s="25">
        <f t="shared" ref="C52:J52" si="45">C51/C48</f>
        <v>0.2217231523070641</v>
      </c>
      <c r="D52" s="25">
        <f t="shared" si="45"/>
        <v>0.23159509202453987</v>
      </c>
      <c r="E52" s="25">
        <f t="shared" si="45"/>
        <v>0.21799080761654629</v>
      </c>
      <c r="F52" s="25">
        <f t="shared" si="45"/>
        <v>0.21110515021459228</v>
      </c>
      <c r="G52" s="25">
        <f t="shared" si="45"/>
        <v>0.1959921798631476</v>
      </c>
      <c r="H52" s="25">
        <f t="shared" si="45"/>
        <v>0.21076108168385838</v>
      </c>
      <c r="I52" s="25">
        <f t="shared" si="45"/>
        <v>0.2383248730964467</v>
      </c>
      <c r="J52" s="25">
        <f t="shared" si="45"/>
        <v>0.26136017078377555</v>
      </c>
      <c r="K52" s="26">
        <v>0.26750000000000002</v>
      </c>
      <c r="L52" s="27">
        <f t="shared" ref="L52:O52" si="46">K52+0.003</f>
        <v>0.27050000000000002</v>
      </c>
      <c r="M52" s="27">
        <f t="shared" si="46"/>
        <v>0.27350000000000002</v>
      </c>
      <c r="N52" s="27">
        <f t="shared" si="46"/>
        <v>0.27650000000000002</v>
      </c>
      <c r="O52" s="27">
        <f t="shared" si="46"/>
        <v>0.27950000000000003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13.2">
      <c r="B53" s="4" t="s">
        <v>29</v>
      </c>
      <c r="D53" s="25">
        <f t="shared" ref="D53:O53" si="47">(D51-C51)/(D48-C48)</f>
        <v>0.38364779874213839</v>
      </c>
      <c r="E53" s="25">
        <f t="shared" si="47"/>
        <v>0.13698630136986301</v>
      </c>
      <c r="F53" s="25">
        <f t="shared" si="47"/>
        <v>0.18035190615835778</v>
      </c>
      <c r="G53" s="25">
        <f t="shared" si="47"/>
        <v>4.1208791208791208E-2</v>
      </c>
      <c r="H53" s="25">
        <f t="shared" si="47"/>
        <v>9.1089108910891087E-2</v>
      </c>
      <c r="I53" s="25">
        <f t="shared" si="47"/>
        <v>0.5184135977337111</v>
      </c>
      <c r="J53" s="25">
        <f t="shared" si="47"/>
        <v>0.29602750190985483</v>
      </c>
      <c r="K53" s="29">
        <f t="shared" si="47"/>
        <v>0.54634349030471085</v>
      </c>
      <c r="L53" s="25">
        <f t="shared" si="47"/>
        <v>0.32377057074972848</v>
      </c>
      <c r="M53" s="25">
        <f t="shared" si="47"/>
        <v>0.37808000973736705</v>
      </c>
      <c r="N53" s="25">
        <f t="shared" si="47"/>
        <v>0.38249037150233423</v>
      </c>
      <c r="O53" s="25">
        <f t="shared" si="47"/>
        <v>0.39625021765137985</v>
      </c>
    </row>
    <row r="54" spans="1:30" ht="13.2">
      <c r="A54" s="23"/>
      <c r="B54" s="23" t="s">
        <v>30</v>
      </c>
      <c r="C54" s="23">
        <v>431</v>
      </c>
      <c r="D54" s="23">
        <v>498</v>
      </c>
      <c r="E54" s="23">
        <v>511</v>
      </c>
      <c r="F54" s="23">
        <v>625</v>
      </c>
      <c r="G54" s="23">
        <v>849</v>
      </c>
      <c r="H54" s="23">
        <v>725</v>
      </c>
      <c r="I54" s="23">
        <v>803</v>
      </c>
      <c r="J54" s="23">
        <v>1552</v>
      </c>
      <c r="K54" s="24">
        <f t="shared" ref="K54:O54" si="48">K51-K58</f>
        <v>1481.027</v>
      </c>
      <c r="L54" s="23">
        <f t="shared" si="48"/>
        <v>1528.9638858437502</v>
      </c>
      <c r="M54" s="23">
        <f t="shared" si="48"/>
        <v>1544.3450751237503</v>
      </c>
      <c r="N54" s="23">
        <f t="shared" si="48"/>
        <v>1610.0511307154043</v>
      </c>
      <c r="O54" s="23">
        <f t="shared" si="48"/>
        <v>1679.3997157016795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ht="13.2">
      <c r="B55" s="47" t="s">
        <v>31</v>
      </c>
      <c r="D55" s="25">
        <f t="shared" ref="D55:O55" si="49">D54/C54-1</f>
        <v>0.15545243619489568</v>
      </c>
      <c r="E55" s="25">
        <f t="shared" si="49"/>
        <v>2.6104417670682833E-2</v>
      </c>
      <c r="F55" s="25">
        <f t="shared" si="49"/>
        <v>0.22309197651663415</v>
      </c>
      <c r="G55" s="25">
        <f t="shared" si="49"/>
        <v>0.35840000000000005</v>
      </c>
      <c r="H55" s="25">
        <f t="shared" si="49"/>
        <v>-0.14605418138987047</v>
      </c>
      <c r="I55" s="25">
        <f t="shared" si="49"/>
        <v>0.10758620689655163</v>
      </c>
      <c r="J55" s="25">
        <f t="shared" si="49"/>
        <v>0.93275217932752175</v>
      </c>
      <c r="K55" s="29">
        <f t="shared" si="49"/>
        <v>-4.5730025773195848E-2</v>
      </c>
      <c r="L55" s="25">
        <f t="shared" si="49"/>
        <v>3.2367327431404025E-2</v>
      </c>
      <c r="M55" s="25">
        <f t="shared" si="49"/>
        <v>1.0059877425758978E-2</v>
      </c>
      <c r="N55" s="25">
        <f t="shared" si="49"/>
        <v>4.2546226649758934E-2</v>
      </c>
      <c r="O55" s="25">
        <f t="shared" si="49"/>
        <v>4.3072287372303064E-2</v>
      </c>
    </row>
    <row r="56" spans="1:30" ht="13.2">
      <c r="A56" s="48"/>
      <c r="B56" s="49" t="s">
        <v>8</v>
      </c>
      <c r="C56" s="25">
        <f t="shared" ref="C56:O56" si="50">C54/C48</f>
        <v>0.17599020008166599</v>
      </c>
      <c r="D56" s="25">
        <f t="shared" si="50"/>
        <v>0.19095092024539878</v>
      </c>
      <c r="E56" s="25">
        <f t="shared" si="50"/>
        <v>0.16776099803020356</v>
      </c>
      <c r="F56" s="25">
        <f t="shared" si="50"/>
        <v>0.16765021459227467</v>
      </c>
      <c r="G56" s="25">
        <f t="shared" si="50"/>
        <v>0.20747800586510265</v>
      </c>
      <c r="H56" s="25">
        <f t="shared" si="50"/>
        <v>0.20211876219682184</v>
      </c>
      <c r="I56" s="25">
        <f t="shared" si="50"/>
        <v>0.20380710659898477</v>
      </c>
      <c r="J56" s="25">
        <f t="shared" si="50"/>
        <v>0.23665751753583408</v>
      </c>
      <c r="K56" s="50">
        <f t="shared" si="50"/>
        <v>0.22096965266173313</v>
      </c>
      <c r="L56" s="51">
        <f t="shared" si="50"/>
        <v>0.21595979879688026</v>
      </c>
      <c r="M56" s="51">
        <f t="shared" si="50"/>
        <v>0.21204944144997009</v>
      </c>
      <c r="N56" s="51">
        <f t="shared" si="50"/>
        <v>0.21498627509068624</v>
      </c>
      <c r="O56" s="51">
        <f t="shared" si="50"/>
        <v>0.21862837640639857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3.2">
      <c r="A57" s="48"/>
      <c r="B57" s="48" t="s">
        <v>32</v>
      </c>
      <c r="C57" s="48">
        <v>0</v>
      </c>
      <c r="D57" s="48">
        <v>0</v>
      </c>
      <c r="E57" s="48">
        <v>30</v>
      </c>
      <c r="F57" s="48">
        <v>0</v>
      </c>
      <c r="G57" s="48">
        <v>12</v>
      </c>
      <c r="H57" s="48">
        <v>197</v>
      </c>
      <c r="I57" s="48">
        <v>0</v>
      </c>
      <c r="J57" s="48">
        <v>0</v>
      </c>
      <c r="K57" s="52">
        <v>0</v>
      </c>
      <c r="L57" s="48">
        <v>0</v>
      </c>
      <c r="M57" s="48">
        <v>0</v>
      </c>
      <c r="N57" s="48">
        <v>0</v>
      </c>
      <c r="O57" s="48">
        <v>0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3.2">
      <c r="B58" s="4" t="s">
        <v>33</v>
      </c>
      <c r="C58" s="23">
        <f t="shared" ref="C58:J58" si="51">C51-C54-C57</f>
        <v>112</v>
      </c>
      <c r="D58" s="23">
        <f t="shared" si="51"/>
        <v>106</v>
      </c>
      <c r="E58" s="23">
        <f t="shared" si="51"/>
        <v>123</v>
      </c>
      <c r="F58" s="23">
        <f t="shared" si="51"/>
        <v>162</v>
      </c>
      <c r="G58" s="23">
        <f t="shared" si="51"/>
        <v>-59</v>
      </c>
      <c r="H58" s="23">
        <f t="shared" si="51"/>
        <v>-166</v>
      </c>
      <c r="I58" s="23">
        <f t="shared" si="51"/>
        <v>136</v>
      </c>
      <c r="J58" s="23">
        <f t="shared" si="51"/>
        <v>162</v>
      </c>
      <c r="K58" s="24">
        <f>K6+K20+K33</f>
        <v>311.86500000000001</v>
      </c>
      <c r="L58" s="23">
        <f t="shared" ref="L58:O58" si="52">L6+L20+L33+L44</f>
        <v>386.13667187500005</v>
      </c>
      <c r="M58" s="23">
        <f t="shared" si="52"/>
        <v>447.54122817500001</v>
      </c>
      <c r="N58" s="23">
        <f t="shared" si="52"/>
        <v>460.68169841530323</v>
      </c>
      <c r="O58" s="23">
        <f t="shared" si="52"/>
        <v>467.5870032871087</v>
      </c>
    </row>
    <row r="59" spans="1:30" ht="13.2">
      <c r="B59" s="4" t="s">
        <v>34</v>
      </c>
      <c r="C59" s="25">
        <f t="shared" ref="C59:O59" si="53">C58/C48</f>
        <v>4.5732952225398124E-2</v>
      </c>
      <c r="D59" s="25">
        <f t="shared" si="53"/>
        <v>4.0644171779141106E-2</v>
      </c>
      <c r="E59" s="25">
        <f t="shared" si="53"/>
        <v>4.0380827314510835E-2</v>
      </c>
      <c r="F59" s="25">
        <f t="shared" si="53"/>
        <v>4.3454935622317593E-2</v>
      </c>
      <c r="G59" s="25">
        <f t="shared" si="53"/>
        <v>-1.4418377321603127E-2</v>
      </c>
      <c r="H59" s="25">
        <f t="shared" si="53"/>
        <v>-4.6278226930582658E-2</v>
      </c>
      <c r="I59" s="25">
        <f t="shared" si="53"/>
        <v>3.4517766497461931E-2</v>
      </c>
      <c r="J59" s="25">
        <f t="shared" si="53"/>
        <v>2.4702653247941447E-2</v>
      </c>
      <c r="K59" s="29">
        <f t="shared" si="53"/>
        <v>4.6530347338266893E-2</v>
      </c>
      <c r="L59" s="25">
        <f t="shared" si="53"/>
        <v>5.4540201203119767E-2</v>
      </c>
      <c r="M59" s="25">
        <f t="shared" si="53"/>
        <v>6.145055855002992E-2</v>
      </c>
      <c r="N59" s="25">
        <f t="shared" si="53"/>
        <v>6.1513724909313748E-2</v>
      </c>
      <c r="O59" s="25">
        <f t="shared" si="53"/>
        <v>6.0871623593601459E-2</v>
      </c>
    </row>
    <row r="60" spans="1:30" ht="13.2">
      <c r="A60" s="25"/>
      <c r="B60" s="25" t="s">
        <v>35</v>
      </c>
      <c r="C60" s="25"/>
      <c r="D60" s="25">
        <f t="shared" ref="D60:O60" si="54">(D58-C58)/(D48-C48)</f>
        <v>-3.7735849056603772E-2</v>
      </c>
      <c r="E60" s="25">
        <f t="shared" si="54"/>
        <v>3.8812785388127852E-2</v>
      </c>
      <c r="F60" s="25">
        <f t="shared" si="54"/>
        <v>5.7184750733137828E-2</v>
      </c>
      <c r="G60" s="25">
        <f t="shared" si="54"/>
        <v>-0.6071428571428571</v>
      </c>
      <c r="H60" s="25">
        <f t="shared" si="54"/>
        <v>0.21188118811881188</v>
      </c>
      <c r="I60" s="25">
        <f t="shared" si="54"/>
        <v>0.85552407932011332</v>
      </c>
      <c r="J60" s="25">
        <f t="shared" si="54"/>
        <v>9.9312452253628725E-3</v>
      </c>
      <c r="K60" s="29">
        <f t="shared" si="54"/>
        <v>1.0378462603878142</v>
      </c>
      <c r="L60" s="25">
        <f t="shared" si="54"/>
        <v>0.19677003020399647</v>
      </c>
      <c r="M60" s="25">
        <f t="shared" si="54"/>
        <v>0.30234563809288012</v>
      </c>
      <c r="N60" s="25">
        <f t="shared" si="54"/>
        <v>6.374540020496143E-2</v>
      </c>
      <c r="O60" s="25">
        <f t="shared" si="54"/>
        <v>3.5883134139052635E-2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13.2">
      <c r="A61" s="23"/>
      <c r="B61" s="23" t="s">
        <v>36</v>
      </c>
      <c r="C61" s="23">
        <v>0</v>
      </c>
      <c r="D61" s="23">
        <v>-7</v>
      </c>
      <c r="E61" s="23">
        <v>3</v>
      </c>
      <c r="F61" s="23">
        <v>16</v>
      </c>
      <c r="G61" s="23">
        <v>-1</v>
      </c>
      <c r="H61" s="23">
        <v>18</v>
      </c>
      <c r="I61" s="23">
        <v>57</v>
      </c>
      <c r="J61" s="23">
        <v>69</v>
      </c>
      <c r="K61" s="24">
        <f t="shared" ref="K61:O61" si="55">K106*5.5%</f>
        <v>142.065</v>
      </c>
      <c r="L61" s="23">
        <f t="shared" si="55"/>
        <v>131.065</v>
      </c>
      <c r="M61" s="23">
        <f t="shared" si="55"/>
        <v>92.879373802359368</v>
      </c>
      <c r="N61" s="23">
        <f t="shared" si="55"/>
        <v>84.721459510461486</v>
      </c>
      <c r="O61" s="23">
        <f t="shared" si="55"/>
        <v>86.217687718416485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</row>
    <row r="62" spans="1:30" ht="13.2">
      <c r="B62" s="4" t="s">
        <v>37</v>
      </c>
      <c r="C62" s="23">
        <f t="shared" ref="C62:O62" si="56">C58-C61</f>
        <v>112</v>
      </c>
      <c r="D62" s="23">
        <f t="shared" si="56"/>
        <v>113</v>
      </c>
      <c r="E62" s="23">
        <f t="shared" si="56"/>
        <v>120</v>
      </c>
      <c r="F62" s="23">
        <f t="shared" si="56"/>
        <v>146</v>
      </c>
      <c r="G62" s="23">
        <f t="shared" si="56"/>
        <v>-58</v>
      </c>
      <c r="H62" s="23">
        <f t="shared" si="56"/>
        <v>-184</v>
      </c>
      <c r="I62" s="23">
        <f t="shared" si="56"/>
        <v>79</v>
      </c>
      <c r="J62" s="23">
        <f t="shared" si="56"/>
        <v>93</v>
      </c>
      <c r="K62" s="24">
        <f t="shared" si="56"/>
        <v>169.8</v>
      </c>
      <c r="L62" s="23">
        <f t="shared" si="56"/>
        <v>255.07167187500005</v>
      </c>
      <c r="M62" s="23">
        <f t="shared" si="56"/>
        <v>354.66185437264062</v>
      </c>
      <c r="N62" s="23">
        <f t="shared" si="56"/>
        <v>375.96023890484173</v>
      </c>
      <c r="O62" s="23">
        <f t="shared" si="56"/>
        <v>381.36931556869223</v>
      </c>
    </row>
    <row r="63" spans="1:30" ht="13.2">
      <c r="A63" s="23"/>
      <c r="B63" s="23" t="s">
        <v>38</v>
      </c>
      <c r="C63" s="23">
        <v>6</v>
      </c>
      <c r="D63" s="23">
        <v>9</v>
      </c>
      <c r="E63" s="23">
        <v>8</v>
      </c>
      <c r="F63" s="23">
        <v>10</v>
      </c>
      <c r="G63" s="23">
        <v>9</v>
      </c>
      <c r="H63" s="23">
        <v>-31</v>
      </c>
      <c r="I63" s="23">
        <v>32</v>
      </c>
      <c r="J63" s="23">
        <v>20</v>
      </c>
      <c r="K63" s="24">
        <f t="shared" ref="K63:O63" si="57">K64*K62</f>
        <v>35.658000000000001</v>
      </c>
      <c r="L63" s="23">
        <f t="shared" si="57"/>
        <v>53.565051093750007</v>
      </c>
      <c r="M63" s="23">
        <f t="shared" si="57"/>
        <v>74.478989418254528</v>
      </c>
      <c r="N63" s="23">
        <f t="shared" si="57"/>
        <v>78.951650170016762</v>
      </c>
      <c r="O63" s="23">
        <f t="shared" si="57"/>
        <v>80.087556269425363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</row>
    <row r="64" spans="1:30" ht="13.2">
      <c r="A64" s="20"/>
      <c r="B64" s="20" t="s">
        <v>39</v>
      </c>
      <c r="C64" s="15">
        <f t="shared" ref="C64:J64" si="58">C63/C62</f>
        <v>5.3571428571428568E-2</v>
      </c>
      <c r="D64" s="15">
        <f t="shared" si="58"/>
        <v>7.9646017699115043E-2</v>
      </c>
      <c r="E64" s="15">
        <f t="shared" si="58"/>
        <v>6.6666666666666666E-2</v>
      </c>
      <c r="F64" s="15">
        <f t="shared" si="58"/>
        <v>6.8493150684931503E-2</v>
      </c>
      <c r="G64" s="15">
        <f t="shared" si="58"/>
        <v>-0.15517241379310345</v>
      </c>
      <c r="H64" s="15">
        <f t="shared" si="58"/>
        <v>0.16847826086956522</v>
      </c>
      <c r="I64" s="15">
        <f t="shared" si="58"/>
        <v>0.4050632911392405</v>
      </c>
      <c r="J64" s="15">
        <f t="shared" si="58"/>
        <v>0.21505376344086022</v>
      </c>
      <c r="K64" s="53">
        <v>0.21</v>
      </c>
      <c r="L64" s="54">
        <v>0.21</v>
      </c>
      <c r="M64" s="54">
        <v>0.21</v>
      </c>
      <c r="N64" s="54">
        <v>0.21</v>
      </c>
      <c r="O64" s="54">
        <v>0.21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ht="13.2">
      <c r="A65" s="23"/>
      <c r="B65" s="23" t="s">
        <v>40</v>
      </c>
      <c r="C65" s="23"/>
      <c r="D65" s="23"/>
      <c r="E65" s="23"/>
      <c r="F65" s="23"/>
      <c r="G65" s="23"/>
      <c r="H65" s="23">
        <v>222</v>
      </c>
      <c r="I65" s="23">
        <v>184</v>
      </c>
      <c r="J65" s="23">
        <v>0</v>
      </c>
      <c r="K65" s="24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ht="13.2">
      <c r="A66" s="23"/>
      <c r="B66" s="23" t="s">
        <v>41</v>
      </c>
      <c r="C66" s="23"/>
      <c r="D66" s="23"/>
      <c r="E66" s="23"/>
      <c r="F66" s="23"/>
      <c r="G66" s="23"/>
      <c r="H66" s="23"/>
      <c r="I66" s="23"/>
      <c r="J66" s="23">
        <v>44</v>
      </c>
      <c r="K66" s="24">
        <v>44</v>
      </c>
      <c r="L66" s="23">
        <v>44</v>
      </c>
      <c r="M66" s="23">
        <v>44</v>
      </c>
      <c r="N66" s="23">
        <v>44</v>
      </c>
      <c r="O66" s="23">
        <v>44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ht="13.2">
      <c r="B67" s="4"/>
      <c r="K67" s="1"/>
    </row>
    <row r="68" spans="1:30" ht="13.2">
      <c r="B68" s="4" t="s">
        <v>42</v>
      </c>
      <c r="C68" s="23">
        <f t="shared" ref="C68:G68" si="59">C62-C63</f>
        <v>106</v>
      </c>
      <c r="D68" s="23">
        <f t="shared" si="59"/>
        <v>104</v>
      </c>
      <c r="E68" s="23">
        <f t="shared" si="59"/>
        <v>112</v>
      </c>
      <c r="F68" s="23">
        <f t="shared" si="59"/>
        <v>136</v>
      </c>
      <c r="G68" s="23">
        <f t="shared" si="59"/>
        <v>-67</v>
      </c>
      <c r="H68" s="23">
        <f t="shared" ref="H68:I68" si="60">H62-H63-H65</f>
        <v>-375</v>
      </c>
      <c r="I68" s="23">
        <f t="shared" si="60"/>
        <v>-137</v>
      </c>
      <c r="J68" s="23">
        <f>J62-J63-J66-J65</f>
        <v>29</v>
      </c>
      <c r="K68" s="24">
        <f t="shared" ref="K68:O68" si="61">K62-K63</f>
        <v>134.142</v>
      </c>
      <c r="L68" s="23">
        <f t="shared" si="61"/>
        <v>201.50662078125004</v>
      </c>
      <c r="M68" s="23">
        <f t="shared" si="61"/>
        <v>280.1828649543861</v>
      </c>
      <c r="N68" s="23">
        <f t="shared" si="61"/>
        <v>297.00858873482497</v>
      </c>
      <c r="O68" s="23">
        <f t="shared" si="61"/>
        <v>301.28175929926687</v>
      </c>
    </row>
    <row r="69" spans="1:30" ht="13.2">
      <c r="B69" s="4" t="s">
        <v>43</v>
      </c>
      <c r="C69" s="15">
        <f t="shared" ref="C69:O69" si="62">C68/C48</f>
        <v>4.3282972641894651E-2</v>
      </c>
      <c r="D69" s="15">
        <f t="shared" si="62"/>
        <v>3.9877300613496931E-2</v>
      </c>
      <c r="E69" s="15">
        <f t="shared" si="62"/>
        <v>3.6769533814839134E-2</v>
      </c>
      <c r="F69" s="15">
        <f t="shared" si="62"/>
        <v>3.6480686695278972E-2</v>
      </c>
      <c r="G69" s="15">
        <f t="shared" si="62"/>
        <v>-1.6373411534701857E-2</v>
      </c>
      <c r="H69" s="15">
        <f t="shared" si="62"/>
        <v>-0.10454418734318371</v>
      </c>
      <c r="I69" s="15">
        <f t="shared" si="62"/>
        <v>-3.4771573604060912E-2</v>
      </c>
      <c r="J69" s="15">
        <f t="shared" si="62"/>
        <v>4.4220799024092712E-3</v>
      </c>
      <c r="K69" s="21">
        <f t="shared" si="62"/>
        <v>2.0014024826927667E-2</v>
      </c>
      <c r="L69" s="15">
        <f t="shared" si="62"/>
        <v>2.8461973289933669E-2</v>
      </c>
      <c r="M69" s="15">
        <f t="shared" si="62"/>
        <v>3.847107811229894E-2</v>
      </c>
      <c r="N69" s="15">
        <f t="shared" si="62"/>
        <v>3.965884619680958E-2</v>
      </c>
      <c r="O69" s="15">
        <f t="shared" si="62"/>
        <v>3.9221598801415243E-2</v>
      </c>
    </row>
    <row r="70" spans="1:30" ht="13.2">
      <c r="B70" s="4" t="s">
        <v>44</v>
      </c>
      <c r="H70" s="55">
        <f t="shared" ref="H70:O70" si="63">H68/H72</f>
        <v>-2.2189349112426036</v>
      </c>
      <c r="I70" s="55">
        <f t="shared" si="63"/>
        <v>-0.66504854368932043</v>
      </c>
      <c r="J70" s="55">
        <f t="shared" si="63"/>
        <v>0.12446351931330472</v>
      </c>
      <c r="K70" s="56">
        <f t="shared" si="63"/>
        <v>0.53805302635273355</v>
      </c>
      <c r="L70" s="55">
        <f t="shared" si="63"/>
        <v>0.76250686150851843</v>
      </c>
      <c r="M70" s="55">
        <f t="shared" si="63"/>
        <v>1.009733368875765</v>
      </c>
      <c r="N70" s="55">
        <f t="shared" si="63"/>
        <v>1.0292024369138182</v>
      </c>
      <c r="O70" s="55">
        <f t="shared" si="63"/>
        <v>1.0136018899150137</v>
      </c>
    </row>
    <row r="71" spans="1:30" ht="13.2">
      <c r="B71" s="4" t="s">
        <v>3</v>
      </c>
      <c r="H71" s="4"/>
      <c r="I71" s="45">
        <f t="shared" ref="I71:O71" si="64">I70/H70-1</f>
        <v>-0.70028478964401297</v>
      </c>
      <c r="J71" s="45">
        <f t="shared" si="64"/>
        <v>-1.1871495253908086</v>
      </c>
      <c r="K71" s="44">
        <f t="shared" si="64"/>
        <v>3.3229777634547215</v>
      </c>
      <c r="L71" s="45">
        <f t="shared" si="64"/>
        <v>0.41715932103806952</v>
      </c>
      <c r="M71" s="45">
        <f t="shared" si="64"/>
        <v>0.32422856743628747</v>
      </c>
      <c r="N71" s="45">
        <f t="shared" si="64"/>
        <v>1.9281395107036969E-2</v>
      </c>
      <c r="O71" s="45">
        <f t="shared" si="64"/>
        <v>-1.5157899397891583E-2</v>
      </c>
    </row>
    <row r="72" spans="1:30" ht="13.2">
      <c r="B72" s="4" t="s">
        <v>45</v>
      </c>
      <c r="H72" s="4">
        <v>169</v>
      </c>
      <c r="I72" s="4">
        <v>206</v>
      </c>
      <c r="J72" s="4">
        <v>233</v>
      </c>
      <c r="K72" s="57">
        <f>J72*1.07</f>
        <v>249.31</v>
      </c>
      <c r="L72" s="58">
        <f>K72*1.06</f>
        <v>264.26859999999999</v>
      </c>
      <c r="M72" s="58">
        <f>L72*1.05</f>
        <v>277.48203000000001</v>
      </c>
      <c r="N72" s="58">
        <f>M72*1.04</f>
        <v>288.58131120000002</v>
      </c>
      <c r="O72" s="58">
        <f>N72*1.03</f>
        <v>297.238750536</v>
      </c>
    </row>
    <row r="73" spans="1:30" ht="13.2">
      <c r="K73" s="1"/>
    </row>
    <row r="74" spans="1:30" ht="13.2">
      <c r="B74" s="4" t="s">
        <v>46</v>
      </c>
      <c r="E74" s="23">
        <f t="shared" ref="E74:J74" si="65">E58-E63</f>
        <v>115</v>
      </c>
      <c r="F74" s="23">
        <f t="shared" si="65"/>
        <v>152</v>
      </c>
      <c r="G74" s="23">
        <f t="shared" si="65"/>
        <v>-68</v>
      </c>
      <c r="H74" s="23">
        <f t="shared" si="65"/>
        <v>-135</v>
      </c>
      <c r="I74" s="23">
        <f t="shared" si="65"/>
        <v>104</v>
      </c>
      <c r="J74" s="23">
        <f t="shared" si="65"/>
        <v>142</v>
      </c>
      <c r="K74" s="24">
        <f t="shared" ref="K74:O74" si="66">K58*0.79</f>
        <v>246.37335000000002</v>
      </c>
      <c r="L74" s="23">
        <f t="shared" si="66"/>
        <v>305.04797078125006</v>
      </c>
      <c r="M74" s="23">
        <f t="shared" si="66"/>
        <v>353.55757025825005</v>
      </c>
      <c r="N74" s="23">
        <f t="shared" si="66"/>
        <v>363.93854174808956</v>
      </c>
      <c r="O74" s="23">
        <f t="shared" si="66"/>
        <v>369.39373259681588</v>
      </c>
    </row>
    <row r="75" spans="1:30" ht="13.2" hidden="1">
      <c r="A75" s="23"/>
      <c r="B75" s="23" t="s">
        <v>47</v>
      </c>
      <c r="C75" s="23"/>
      <c r="D75" s="23"/>
      <c r="E75" s="23">
        <f t="shared" ref="E75:G75" si="67">E9</f>
        <v>12</v>
      </c>
      <c r="F75" s="23">
        <f t="shared" si="67"/>
        <v>19</v>
      </c>
      <c r="G75" s="23">
        <f t="shared" si="67"/>
        <v>33</v>
      </c>
      <c r="H75" s="23">
        <v>119</v>
      </c>
      <c r="I75" s="23">
        <v>74</v>
      </c>
      <c r="J75" s="23">
        <f>26+167</f>
        <v>193</v>
      </c>
      <c r="K75" s="24">
        <f t="shared" ref="K75:O75" si="68">K76*K4</f>
        <v>188.49</v>
      </c>
      <c r="L75" s="23">
        <f t="shared" si="68"/>
        <v>194.14470000000003</v>
      </c>
      <c r="M75" s="23">
        <f t="shared" si="68"/>
        <v>199.96904100000003</v>
      </c>
      <c r="N75" s="23">
        <f t="shared" si="68"/>
        <v>205.96811223000006</v>
      </c>
      <c r="O75" s="23">
        <f t="shared" si="68"/>
        <v>212.14715559690006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ht="13.2" hidden="1">
      <c r="A76" s="20"/>
      <c r="B76" s="59" t="s">
        <v>48</v>
      </c>
      <c r="C76" s="20"/>
      <c r="D76" s="20"/>
      <c r="E76" s="15">
        <f t="shared" ref="E76:J76" si="69">E75/E4</f>
        <v>7.4953154278575894E-3</v>
      </c>
      <c r="F76" s="15">
        <f t="shared" si="69"/>
        <v>1.1143695014662757E-2</v>
      </c>
      <c r="G76" s="15">
        <f t="shared" si="69"/>
        <v>1.8570624648283626E-2</v>
      </c>
      <c r="H76" s="15">
        <f t="shared" si="69"/>
        <v>7.2605247101891396E-2</v>
      </c>
      <c r="I76" s="15">
        <f t="shared" si="69"/>
        <v>3.5576923076923075E-2</v>
      </c>
      <c r="J76" s="15">
        <f t="shared" si="69"/>
        <v>4.2185792349726775E-2</v>
      </c>
      <c r="K76" s="21">
        <f t="shared" ref="K76:O76" si="70">K10</f>
        <v>0.04</v>
      </c>
      <c r="L76" s="15">
        <f t="shared" si="70"/>
        <v>0.04</v>
      </c>
      <c r="M76" s="15">
        <f t="shared" si="70"/>
        <v>0.04</v>
      </c>
      <c r="N76" s="15">
        <f t="shared" si="70"/>
        <v>0.04</v>
      </c>
      <c r="O76" s="15">
        <f t="shared" si="70"/>
        <v>0.04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ht="13.2" hidden="1">
      <c r="A77" s="23"/>
      <c r="B77" s="23" t="s">
        <v>49</v>
      </c>
      <c r="C77" s="23"/>
      <c r="D77" s="23"/>
      <c r="E77" s="23">
        <f t="shared" ref="E77:G77" si="71">E23</f>
        <v>55</v>
      </c>
      <c r="F77" s="23">
        <f t="shared" si="71"/>
        <v>87</v>
      </c>
      <c r="G77" s="23">
        <f t="shared" si="71"/>
        <v>104</v>
      </c>
      <c r="H77" s="23">
        <f>65+71</f>
        <v>136</v>
      </c>
      <c r="I77" s="23">
        <f>57+61</f>
        <v>118</v>
      </c>
      <c r="J77" s="23">
        <f>46+56</f>
        <v>102</v>
      </c>
      <c r="K77" s="24">
        <f t="shared" ref="K77:O77" si="72">K78*K18</f>
        <v>102.00749999999999</v>
      </c>
      <c r="L77" s="23">
        <f t="shared" si="72"/>
        <v>102.51753749999999</v>
      </c>
      <c r="M77" s="23">
        <f t="shared" si="72"/>
        <v>103.03012518749998</v>
      </c>
      <c r="N77" s="23">
        <f t="shared" si="72"/>
        <v>103.54527581343746</v>
      </c>
      <c r="O77" s="23">
        <f t="shared" si="72"/>
        <v>104.06300219250464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ht="13.2" hidden="1">
      <c r="A78" s="20"/>
      <c r="B78" s="59" t="s">
        <v>48</v>
      </c>
      <c r="C78" s="20"/>
      <c r="D78" s="20"/>
      <c r="E78" s="15">
        <f t="shared" ref="E78:J78" si="73">E77/E18</f>
        <v>3.6642238507661559E-2</v>
      </c>
      <c r="F78" s="15">
        <f t="shared" si="73"/>
        <v>4.1786743515850142E-2</v>
      </c>
      <c r="G78" s="15">
        <f t="shared" si="73"/>
        <v>4.4635193133047209E-2</v>
      </c>
      <c r="H78" s="15">
        <f t="shared" si="73"/>
        <v>6.9246435845213852E-2</v>
      </c>
      <c r="I78" s="15">
        <f t="shared" si="73"/>
        <v>6.1139896373056994E-2</v>
      </c>
      <c r="J78" s="15">
        <f t="shared" si="73"/>
        <v>5.024630541871921E-2</v>
      </c>
      <c r="K78" s="60">
        <f t="shared" ref="K78:O78" si="74">K24</f>
        <v>0.05</v>
      </c>
      <c r="L78" s="61">
        <f t="shared" si="74"/>
        <v>0.05</v>
      </c>
      <c r="M78" s="61">
        <f t="shared" si="74"/>
        <v>0.05</v>
      </c>
      <c r="N78" s="61">
        <f t="shared" si="74"/>
        <v>0.05</v>
      </c>
      <c r="O78" s="61">
        <f t="shared" si="74"/>
        <v>0.05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ht="13.2">
      <c r="B79" s="4" t="s">
        <v>50</v>
      </c>
      <c r="E79" s="23">
        <f t="shared" ref="E79:O79" si="75">E75+E77</f>
        <v>67</v>
      </c>
      <c r="F79" s="23">
        <f t="shared" si="75"/>
        <v>106</v>
      </c>
      <c r="G79" s="23">
        <f t="shared" si="75"/>
        <v>137</v>
      </c>
      <c r="H79" s="23">
        <f t="shared" si="75"/>
        <v>255</v>
      </c>
      <c r="I79" s="23">
        <f t="shared" si="75"/>
        <v>192</v>
      </c>
      <c r="J79" s="23">
        <f t="shared" si="75"/>
        <v>295</v>
      </c>
      <c r="K79" s="24">
        <f t="shared" si="75"/>
        <v>290.4975</v>
      </c>
      <c r="L79" s="23">
        <f t="shared" si="75"/>
        <v>296.6622375</v>
      </c>
      <c r="M79" s="23">
        <f t="shared" si="75"/>
        <v>302.99916618750001</v>
      </c>
      <c r="N79" s="23">
        <f t="shared" si="75"/>
        <v>309.51338804343754</v>
      </c>
      <c r="O79" s="23">
        <f t="shared" si="75"/>
        <v>316.21015778940472</v>
      </c>
    </row>
    <row r="80" spans="1:30" ht="13.2">
      <c r="B80" s="4" t="s">
        <v>51</v>
      </c>
      <c r="E80" s="25">
        <f t="shared" ref="E80:O80" si="76">E79/E48</f>
        <v>2.1996060407091268E-2</v>
      </c>
      <c r="F80" s="25">
        <f t="shared" si="76"/>
        <v>2.8433476394849784E-2</v>
      </c>
      <c r="G80" s="25">
        <f t="shared" si="76"/>
        <v>3.3479960899315736E-2</v>
      </c>
      <c r="H80" s="25">
        <f t="shared" si="76"/>
        <v>7.1090047393364927E-2</v>
      </c>
      <c r="I80" s="25">
        <f t="shared" si="76"/>
        <v>4.8730964467005075E-2</v>
      </c>
      <c r="J80" s="25">
        <f t="shared" si="76"/>
        <v>4.4983226593473619E-2</v>
      </c>
      <c r="K80" s="26">
        <f t="shared" si="76"/>
        <v>4.334231021723562E-2</v>
      </c>
      <c r="L80" s="27">
        <f t="shared" si="76"/>
        <v>4.1902308952037295E-2</v>
      </c>
      <c r="M80" s="27">
        <f t="shared" si="76"/>
        <v>4.1603916757216676E-2</v>
      </c>
      <c r="N80" s="27">
        <f t="shared" si="76"/>
        <v>4.132858212806579E-2</v>
      </c>
      <c r="O80" s="27">
        <f t="shared" si="76"/>
        <v>4.1165014352657563E-2</v>
      </c>
    </row>
    <row r="81" spans="1:30" ht="13.2" hidden="1">
      <c r="B81" s="4" t="s">
        <v>52</v>
      </c>
      <c r="E81" s="23">
        <f t="shared" ref="E81:O81" si="77">E11</f>
        <v>6</v>
      </c>
      <c r="F81" s="23">
        <f t="shared" si="77"/>
        <v>9</v>
      </c>
      <c r="G81" s="23">
        <f t="shared" si="77"/>
        <v>5</v>
      </c>
      <c r="H81" s="23">
        <f t="shared" si="77"/>
        <v>2</v>
      </c>
      <c r="I81" s="23">
        <f t="shared" si="77"/>
        <v>6</v>
      </c>
      <c r="J81" s="23">
        <f t="shared" si="77"/>
        <v>25</v>
      </c>
      <c r="K81" s="24">
        <f t="shared" si="77"/>
        <v>23.561250000000001</v>
      </c>
      <c r="L81" s="23">
        <f t="shared" si="77"/>
        <v>24.268087500000004</v>
      </c>
      <c r="M81" s="23">
        <f t="shared" si="77"/>
        <v>24.996130125000004</v>
      </c>
      <c r="N81" s="23">
        <f t="shared" si="77"/>
        <v>25.746014028750007</v>
      </c>
      <c r="O81" s="23">
        <f t="shared" si="77"/>
        <v>26.518394449612508</v>
      </c>
    </row>
    <row r="82" spans="1:30" ht="13.2" hidden="1">
      <c r="B82" s="59" t="s">
        <v>48</v>
      </c>
      <c r="E82" s="25">
        <f t="shared" ref="E82:O82" si="78">E12</f>
        <v>3.7476577139287947E-3</v>
      </c>
      <c r="F82" s="25">
        <f t="shared" si="78"/>
        <v>5.2785923753665689E-3</v>
      </c>
      <c r="G82" s="25">
        <f t="shared" si="78"/>
        <v>2.8137310073157004E-3</v>
      </c>
      <c r="H82" s="25">
        <f t="shared" si="78"/>
        <v>1.2202562538133007E-3</v>
      </c>
      <c r="I82" s="25">
        <f t="shared" si="78"/>
        <v>2.8846153846153848E-3</v>
      </c>
      <c r="J82" s="25">
        <f t="shared" si="78"/>
        <v>5.4644808743169399E-3</v>
      </c>
      <c r="K82" s="29">
        <f t="shared" si="78"/>
        <v>5.0000000000000001E-3</v>
      </c>
      <c r="L82" s="25">
        <f t="shared" si="78"/>
        <v>5.0000000000000001E-3</v>
      </c>
      <c r="M82" s="25">
        <f t="shared" si="78"/>
        <v>5.0000000000000001E-3</v>
      </c>
      <c r="N82" s="25">
        <f t="shared" si="78"/>
        <v>5.0000000000000001E-3</v>
      </c>
      <c r="O82" s="25">
        <f t="shared" si="78"/>
        <v>5.0000000000000001E-3</v>
      </c>
    </row>
    <row r="83" spans="1:30" ht="13.2" hidden="1">
      <c r="B83" s="4" t="s">
        <v>53</v>
      </c>
      <c r="E83" s="23">
        <f t="shared" ref="E83:O83" si="79">E25</f>
        <v>26</v>
      </c>
      <c r="F83" s="23">
        <f t="shared" si="79"/>
        <v>64</v>
      </c>
      <c r="G83" s="23">
        <f t="shared" si="79"/>
        <v>58</v>
      </c>
      <c r="H83" s="23">
        <f t="shared" si="79"/>
        <v>34</v>
      </c>
      <c r="I83" s="23">
        <f t="shared" si="79"/>
        <v>48</v>
      </c>
      <c r="J83" s="23">
        <f t="shared" si="79"/>
        <v>49</v>
      </c>
      <c r="K83" s="24">
        <f t="shared" si="79"/>
        <v>51.003749999999997</v>
      </c>
      <c r="L83" s="23">
        <f t="shared" si="79"/>
        <v>51.258768749999994</v>
      </c>
      <c r="M83" s="23">
        <f t="shared" si="79"/>
        <v>51.515062593749988</v>
      </c>
      <c r="N83" s="23">
        <f t="shared" si="79"/>
        <v>51.772637906718728</v>
      </c>
      <c r="O83" s="23">
        <f t="shared" si="79"/>
        <v>52.03150109625232</v>
      </c>
    </row>
    <row r="84" spans="1:30" ht="13.2" hidden="1">
      <c r="B84" s="59" t="s">
        <v>48</v>
      </c>
      <c r="E84" s="25">
        <f>E83/E18</f>
        <v>1.7321785476349102E-2</v>
      </c>
      <c r="F84" s="25">
        <f t="shared" ref="F84:O84" si="80">F26</f>
        <v>3.073967339097022E-2</v>
      </c>
      <c r="G84" s="25">
        <f t="shared" si="80"/>
        <v>2.4892703862660945E-2</v>
      </c>
      <c r="H84" s="25">
        <f t="shared" si="80"/>
        <v>1.7311608961303463E-2</v>
      </c>
      <c r="I84" s="25">
        <f t="shared" si="80"/>
        <v>2.4870466321243522E-2</v>
      </c>
      <c r="J84" s="25">
        <f t="shared" si="80"/>
        <v>2.4137931034482758E-2</v>
      </c>
      <c r="K84" s="29">
        <f t="shared" si="80"/>
        <v>2.5000000000000001E-2</v>
      </c>
      <c r="L84" s="25">
        <f t="shared" si="80"/>
        <v>2.5000000000000001E-2</v>
      </c>
      <c r="M84" s="25">
        <f t="shared" si="80"/>
        <v>2.5000000000000001E-2</v>
      </c>
      <c r="N84" s="25">
        <f t="shared" si="80"/>
        <v>2.5000000000000001E-2</v>
      </c>
      <c r="O84" s="25">
        <f t="shared" si="80"/>
        <v>2.5000000000000001E-2</v>
      </c>
    </row>
    <row r="85" spans="1:30" ht="13.2">
      <c r="K85" s="1"/>
    </row>
    <row r="86" spans="1:30" ht="13.2">
      <c r="B86" s="4" t="s">
        <v>54</v>
      </c>
      <c r="E86" s="23">
        <f t="shared" ref="E86:O86" si="81">E83+E81</f>
        <v>32</v>
      </c>
      <c r="F86" s="23">
        <f t="shared" si="81"/>
        <v>73</v>
      </c>
      <c r="G86" s="23">
        <f t="shared" si="81"/>
        <v>63</v>
      </c>
      <c r="H86" s="23">
        <f t="shared" si="81"/>
        <v>36</v>
      </c>
      <c r="I86" s="23">
        <f t="shared" si="81"/>
        <v>54</v>
      </c>
      <c r="J86" s="23">
        <f t="shared" si="81"/>
        <v>74</v>
      </c>
      <c r="K86" s="24">
        <f t="shared" si="81"/>
        <v>74.564999999999998</v>
      </c>
      <c r="L86" s="23">
        <f t="shared" si="81"/>
        <v>75.526856249999994</v>
      </c>
      <c r="M86" s="23">
        <f t="shared" si="81"/>
        <v>76.511192718749996</v>
      </c>
      <c r="N86" s="23">
        <f t="shared" si="81"/>
        <v>77.518651935468739</v>
      </c>
      <c r="O86" s="23">
        <f t="shared" si="81"/>
        <v>78.549895545864828</v>
      </c>
    </row>
    <row r="87" spans="1:30" ht="13.2">
      <c r="A87" s="25"/>
      <c r="B87" s="25" t="s">
        <v>51</v>
      </c>
      <c r="C87" s="25"/>
      <c r="D87" s="25"/>
      <c r="E87" s="25">
        <f t="shared" ref="E87:O87" si="82">E86/E48</f>
        <v>1.0505581089954037E-2</v>
      </c>
      <c r="F87" s="25">
        <f t="shared" si="82"/>
        <v>1.9581545064377683E-2</v>
      </c>
      <c r="G87" s="25">
        <f t="shared" si="82"/>
        <v>1.5395894428152493E-2</v>
      </c>
      <c r="H87" s="25">
        <f t="shared" si="82"/>
        <v>1.0036241984945637E-2</v>
      </c>
      <c r="I87" s="25">
        <f t="shared" si="82"/>
        <v>1.3705583756345178E-2</v>
      </c>
      <c r="J87" s="25">
        <f t="shared" si="82"/>
        <v>1.1283928026837451E-2</v>
      </c>
      <c r="K87" s="26">
        <f t="shared" si="82"/>
        <v>1.1125119360229172E-2</v>
      </c>
      <c r="L87" s="27">
        <f t="shared" si="82"/>
        <v>1.0667854767877589E-2</v>
      </c>
      <c r="M87" s="27">
        <f t="shared" si="82"/>
        <v>1.0505524925756566E-2</v>
      </c>
      <c r="N87" s="27">
        <f t="shared" si="82"/>
        <v>1.0350880112889815E-2</v>
      </c>
      <c r="O87" s="27">
        <f t="shared" si="82"/>
        <v>1.0225818171530046E-2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13.2">
      <c r="B88" s="4"/>
      <c r="K88" s="1"/>
    </row>
    <row r="89" spans="1:30" ht="13.2">
      <c r="B89" s="4" t="s">
        <v>55</v>
      </c>
      <c r="K89" s="24">
        <f t="shared" ref="K89:O89" si="83">K90*K48</f>
        <v>167.56</v>
      </c>
      <c r="L89" s="23">
        <f t="shared" si="83"/>
        <v>176.9963546875</v>
      </c>
      <c r="M89" s="23">
        <f t="shared" si="83"/>
        <v>182.07370231250002</v>
      </c>
      <c r="N89" s="23">
        <f t="shared" si="83"/>
        <v>187.22719974057031</v>
      </c>
      <c r="O89" s="23">
        <f t="shared" si="83"/>
        <v>192.03816806697569</v>
      </c>
    </row>
    <row r="90" spans="1:30" ht="13.2">
      <c r="B90" s="4" t="s">
        <v>51</v>
      </c>
      <c r="K90" s="26">
        <v>2.5000000000000001E-2</v>
      </c>
      <c r="L90" s="27">
        <v>2.5000000000000001E-2</v>
      </c>
      <c r="M90" s="27">
        <v>2.5000000000000001E-2</v>
      </c>
      <c r="N90" s="27">
        <v>2.5000000000000001E-2</v>
      </c>
      <c r="O90" s="27">
        <v>2.5000000000000001E-2</v>
      </c>
    </row>
    <row r="91" spans="1:30" ht="13.2">
      <c r="B91" s="4" t="s">
        <v>56</v>
      </c>
      <c r="K91" s="1"/>
      <c r="L91" s="23">
        <f t="shared" ref="L91:O91" si="84">L89-K89</f>
        <v>9.4363546874999997</v>
      </c>
      <c r="M91" s="23">
        <f t="shared" si="84"/>
        <v>5.0773476250000158</v>
      </c>
      <c r="N91" s="23">
        <f t="shared" si="84"/>
        <v>5.1534974280702954</v>
      </c>
      <c r="O91" s="23">
        <f t="shared" si="84"/>
        <v>4.8109683264053729</v>
      </c>
    </row>
    <row r="92" spans="1:30" ht="13.2">
      <c r="K92" s="1"/>
    </row>
    <row r="93" spans="1:30" ht="13.2">
      <c r="B93" s="4" t="s">
        <v>57</v>
      </c>
      <c r="E93" s="23">
        <f t="shared" ref="E93:J93" si="85">E74+E75+E77-E81-E83+E89</f>
        <v>150</v>
      </c>
      <c r="F93" s="23">
        <f t="shared" si="85"/>
        <v>185</v>
      </c>
      <c r="G93" s="23">
        <f t="shared" si="85"/>
        <v>6</v>
      </c>
      <c r="H93" s="23">
        <f t="shared" si="85"/>
        <v>84</v>
      </c>
      <c r="I93" s="23">
        <f t="shared" si="85"/>
        <v>242</v>
      </c>
      <c r="J93" s="23">
        <f t="shared" si="85"/>
        <v>363</v>
      </c>
      <c r="K93" s="24">
        <f t="shared" ref="K93:O93" si="86">K74+K75+K77-K81-K83-K91</f>
        <v>462.30585000000008</v>
      </c>
      <c r="L93" s="23">
        <f t="shared" si="86"/>
        <v>516.74699734375008</v>
      </c>
      <c r="M93" s="23">
        <f t="shared" si="86"/>
        <v>574.96819610199998</v>
      </c>
      <c r="N93" s="23">
        <f t="shared" si="86"/>
        <v>590.77978042798804</v>
      </c>
      <c r="O93" s="23">
        <f t="shared" si="86"/>
        <v>602.24302651395044</v>
      </c>
    </row>
    <row r="94" spans="1:30" ht="13.2">
      <c r="B94" s="4" t="s">
        <v>58</v>
      </c>
      <c r="E94" s="25">
        <f t="shared" ref="E94:O94" si="87">E93/E48</f>
        <v>4.9244911359159552E-2</v>
      </c>
      <c r="F94" s="25">
        <f t="shared" si="87"/>
        <v>4.9624463519313301E-2</v>
      </c>
      <c r="G94" s="25">
        <f t="shared" si="87"/>
        <v>1.4662756598240469E-3</v>
      </c>
      <c r="H94" s="25">
        <f t="shared" si="87"/>
        <v>2.3417897964873154E-2</v>
      </c>
      <c r="I94" s="25">
        <f t="shared" si="87"/>
        <v>6.1421319796954317E-2</v>
      </c>
      <c r="J94" s="25">
        <f t="shared" si="87"/>
        <v>5.5352241537053981E-2</v>
      </c>
      <c r="K94" s="29">
        <f t="shared" si="87"/>
        <v>6.8976165254237304E-2</v>
      </c>
      <c r="L94" s="25">
        <f t="shared" si="87"/>
        <v>7.2988367225995235E-2</v>
      </c>
      <c r="M94" s="25">
        <f t="shared" si="87"/>
        <v>7.8947177543954181E-2</v>
      </c>
      <c r="N94" s="25">
        <f t="shared" si="87"/>
        <v>7.8885410512815016E-2</v>
      </c>
      <c r="O94" s="25">
        <f t="shared" si="87"/>
        <v>7.8401475156739522E-2</v>
      </c>
    </row>
    <row r="95" spans="1:30" ht="13.2">
      <c r="B95" s="4" t="s">
        <v>59</v>
      </c>
      <c r="F95" s="25">
        <f t="shared" ref="F95:O95" si="88">(F93-E93)/(F48-E48)</f>
        <v>5.1319648093841645E-2</v>
      </c>
      <c r="G95" s="25">
        <f t="shared" si="88"/>
        <v>-0.49175824175824173</v>
      </c>
      <c r="H95" s="25">
        <f t="shared" si="88"/>
        <v>-0.15445544554455445</v>
      </c>
      <c r="I95" s="25">
        <f t="shared" si="88"/>
        <v>0.44759206798866857</v>
      </c>
      <c r="J95" s="25">
        <f t="shared" si="88"/>
        <v>4.6218487394957986E-2</v>
      </c>
      <c r="K95" s="29">
        <f t="shared" si="88"/>
        <v>0.68771364265928203</v>
      </c>
      <c r="L95" s="25">
        <f t="shared" si="88"/>
        <v>0.14423246355890526</v>
      </c>
      <c r="M95" s="25">
        <f t="shared" si="88"/>
        <v>0.28667132456904465</v>
      </c>
      <c r="N95" s="25">
        <f t="shared" si="88"/>
        <v>7.6703173653802734E-2</v>
      </c>
      <c r="O95" s="25">
        <f t="shared" si="88"/>
        <v>5.9568289106402626E-2</v>
      </c>
    </row>
    <row r="96" spans="1:30" ht="13.2">
      <c r="K96" s="1"/>
    </row>
    <row r="97" spans="1:30" ht="13.2">
      <c r="B97" s="4" t="s">
        <v>60</v>
      </c>
      <c r="H97" s="55">
        <f t="shared" ref="H97:O97" si="89">H93/H72</f>
        <v>0.49704142011834318</v>
      </c>
      <c r="I97" s="55">
        <f t="shared" si="89"/>
        <v>1.174757281553398</v>
      </c>
      <c r="J97" s="55">
        <f t="shared" si="89"/>
        <v>1.5579399141630901</v>
      </c>
      <c r="K97" s="56">
        <f t="shared" si="89"/>
        <v>1.8543413822149135</v>
      </c>
      <c r="L97" s="55">
        <f t="shared" si="89"/>
        <v>1.9553855332935888</v>
      </c>
      <c r="M97" s="55">
        <f t="shared" si="89"/>
        <v>2.0720916453652873</v>
      </c>
      <c r="N97" s="55">
        <f t="shared" si="89"/>
        <v>2.0471865553987683</v>
      </c>
      <c r="O97" s="55">
        <f t="shared" si="89"/>
        <v>2.0261255486639853</v>
      </c>
    </row>
    <row r="98" spans="1:30" ht="13.2">
      <c r="B98" s="4" t="s">
        <v>61</v>
      </c>
      <c r="K98" s="1"/>
      <c r="M98" s="58">
        <f>M108/M97</f>
        <v>8.811178942231674</v>
      </c>
    </row>
    <row r="99" spans="1:30" ht="13.2">
      <c r="K99" s="1"/>
    </row>
    <row r="100" spans="1:30" ht="13.2">
      <c r="K100" s="1"/>
    </row>
    <row r="101" spans="1:30" ht="13.2">
      <c r="K101" s="1"/>
    </row>
    <row r="102" spans="1:30" ht="13.2">
      <c r="B102" s="4" t="s">
        <v>24</v>
      </c>
      <c r="C102" s="23">
        <f t="shared" ref="C102:L102" si="90">C58+C75+C77</f>
        <v>112</v>
      </c>
      <c r="D102" s="23">
        <f t="shared" si="90"/>
        <v>106</v>
      </c>
      <c r="E102" s="23">
        <f t="shared" si="90"/>
        <v>190</v>
      </c>
      <c r="F102" s="23">
        <f t="shared" si="90"/>
        <v>268</v>
      </c>
      <c r="G102" s="23">
        <f t="shared" si="90"/>
        <v>78</v>
      </c>
      <c r="H102" s="23">
        <f t="shared" si="90"/>
        <v>89</v>
      </c>
      <c r="I102" s="23">
        <f t="shared" si="90"/>
        <v>328</v>
      </c>
      <c r="J102" s="23">
        <f t="shared" si="90"/>
        <v>457</v>
      </c>
      <c r="K102" s="24">
        <f t="shared" si="90"/>
        <v>602.36249999999995</v>
      </c>
      <c r="L102" s="23">
        <f t="shared" si="90"/>
        <v>682.79890937500011</v>
      </c>
      <c r="M102" s="23">
        <f>M58+M79</f>
        <v>750.54039436250002</v>
      </c>
      <c r="N102" s="23">
        <f t="shared" ref="N102:O102" si="91">N58+N75+N77</f>
        <v>770.19508645874078</v>
      </c>
      <c r="O102" s="23">
        <f t="shared" si="91"/>
        <v>783.79716107651348</v>
      </c>
    </row>
    <row r="103" spans="1:30" ht="13.2">
      <c r="A103" s="20"/>
      <c r="B103" s="20" t="s">
        <v>23</v>
      </c>
      <c r="C103" s="15">
        <f t="shared" ref="C103:O103" si="92">C102/C48</f>
        <v>4.5732952225398124E-2</v>
      </c>
      <c r="D103" s="15">
        <f t="shared" si="92"/>
        <v>4.0644171779141106E-2</v>
      </c>
      <c r="E103" s="15">
        <f t="shared" si="92"/>
        <v>6.2376887721602103E-2</v>
      </c>
      <c r="F103" s="15">
        <f t="shared" si="92"/>
        <v>7.1888412017167377E-2</v>
      </c>
      <c r="G103" s="15">
        <f t="shared" si="92"/>
        <v>1.906158357771261E-2</v>
      </c>
      <c r="H103" s="15">
        <f t="shared" si="92"/>
        <v>2.4811820462782269E-2</v>
      </c>
      <c r="I103" s="15">
        <f t="shared" si="92"/>
        <v>8.3248730964466999E-2</v>
      </c>
      <c r="J103" s="15">
        <f t="shared" si="92"/>
        <v>6.9685879841415069E-2</v>
      </c>
      <c r="K103" s="21">
        <f t="shared" si="92"/>
        <v>8.98726575555025E-2</v>
      </c>
      <c r="L103" s="15">
        <f t="shared" si="92"/>
        <v>9.6442510155157077E-2</v>
      </c>
      <c r="M103" s="15">
        <f t="shared" si="92"/>
        <v>0.1030544753072466</v>
      </c>
      <c r="N103" s="15">
        <f t="shared" si="92"/>
        <v>0.10284230703737954</v>
      </c>
      <c r="O103" s="15">
        <f t="shared" si="92"/>
        <v>0.10203663794625903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ht="13.2">
      <c r="B104" s="4" t="s">
        <v>62</v>
      </c>
      <c r="K104" s="1"/>
      <c r="M104" s="62">
        <v>9</v>
      </c>
    </row>
    <row r="105" spans="1:30" ht="13.2">
      <c r="B105" s="4" t="s">
        <v>63</v>
      </c>
      <c r="H105" s="63"/>
      <c r="I105" s="63"/>
      <c r="J105" s="64"/>
      <c r="K105" s="65"/>
      <c r="L105" s="64"/>
      <c r="M105" s="23">
        <f>M102*M104</f>
        <v>6754.8635492624999</v>
      </c>
      <c r="N105" s="63"/>
      <c r="O105" s="63"/>
    </row>
    <row r="106" spans="1:30" ht="13.2">
      <c r="B106" s="4" t="s">
        <v>64</v>
      </c>
      <c r="J106" s="23">
        <v>2789</v>
      </c>
      <c r="K106" s="24">
        <f>J106-206</f>
        <v>2583</v>
      </c>
      <c r="L106" s="23">
        <f>K106-200</f>
        <v>2383</v>
      </c>
      <c r="M106" s="23">
        <f>M102*2.25</f>
        <v>1688.715887315625</v>
      </c>
      <c r="N106" s="23">
        <f t="shared" ref="N106:O106" si="93">N102*2</f>
        <v>1540.3901729174816</v>
      </c>
      <c r="O106" s="23">
        <f t="shared" si="93"/>
        <v>1567.594322153027</v>
      </c>
    </row>
    <row r="107" spans="1:30" ht="13.2">
      <c r="B107" s="4" t="s">
        <v>65</v>
      </c>
      <c r="K107" s="1"/>
      <c r="M107" s="23">
        <f>M105-M106</f>
        <v>5066.1476619468749</v>
      </c>
    </row>
    <row r="108" spans="1:30" ht="13.2">
      <c r="B108" s="4" t="s">
        <v>66</v>
      </c>
      <c r="C108" s="66">
        <f ca="1">IFERROR(__xludf.DUMMYFUNCTION("GOOGLEFINANCE(B2)"),20.91)</f>
        <v>20.91</v>
      </c>
      <c r="K108" s="1"/>
      <c r="M108" s="110">
        <f>M107/M72</f>
        <v>18.257570272016803</v>
      </c>
    </row>
    <row r="109" spans="1:30" ht="13.2">
      <c r="B109" s="4" t="s">
        <v>67</v>
      </c>
      <c r="C109" s="67">
        <f ca="1">(M108/C108)^(1/2.75)-1</f>
        <v>-4.8129649579973233E-2</v>
      </c>
      <c r="K109" s="1"/>
    </row>
    <row r="110" spans="1:30" ht="13.2">
      <c r="K110" s="1"/>
    </row>
    <row r="111" spans="1:30" ht="13.2">
      <c r="K111" s="1"/>
    </row>
    <row r="112" spans="1:30" ht="13.2">
      <c r="K112" s="1"/>
    </row>
    <row r="113" spans="11:15" ht="13.2">
      <c r="K113" s="1"/>
    </row>
    <row r="114" spans="11:15" ht="13.2">
      <c r="K114" s="1"/>
    </row>
    <row r="115" spans="11:15" ht="13.2">
      <c r="K115" s="1"/>
    </row>
    <row r="116" spans="11:15" ht="13.2">
      <c r="K116" s="1"/>
    </row>
    <row r="117" spans="11:15" ht="13.2">
      <c r="K117" s="1"/>
    </row>
    <row r="118" spans="11:15" ht="13.2">
      <c r="K118" s="1"/>
    </row>
    <row r="119" spans="11:15" ht="13.2">
      <c r="K119" s="1"/>
    </row>
    <row r="120" spans="11:15" ht="13.2">
      <c r="K120" s="1"/>
    </row>
    <row r="121" spans="11:15" ht="13.2">
      <c r="K121" s="1"/>
    </row>
    <row r="122" spans="11:15" ht="13.2">
      <c r="K122" s="1"/>
    </row>
    <row r="123" spans="11:15" ht="13.2">
      <c r="K123" s="1"/>
    </row>
    <row r="124" spans="11:15" ht="13.2">
      <c r="K124" s="1"/>
    </row>
    <row r="125" spans="11:15" ht="13.2">
      <c r="K125" s="1"/>
    </row>
    <row r="126" spans="11:15" ht="13.2">
      <c r="K126" s="1"/>
    </row>
    <row r="127" spans="11:15" ht="13.2">
      <c r="K127" s="44"/>
      <c r="L127" s="45"/>
      <c r="M127" s="45"/>
      <c r="N127" s="45"/>
      <c r="O127" s="45"/>
    </row>
    <row r="128" spans="11:15" ht="13.2">
      <c r="K128" s="1"/>
    </row>
    <row r="129" spans="11:15" ht="13.2">
      <c r="K129" s="1"/>
    </row>
    <row r="130" spans="11:15" ht="13.2">
      <c r="K130" s="1"/>
    </row>
    <row r="131" spans="11:15" ht="13.2">
      <c r="K131" s="111"/>
      <c r="L131" s="63"/>
      <c r="M131" s="63"/>
      <c r="N131" s="63"/>
      <c r="O131" s="63"/>
    </row>
    <row r="132" spans="11:15" ht="13.2">
      <c r="K132" s="1"/>
    </row>
    <row r="133" spans="11:15" ht="13.2">
      <c r="K133" s="1"/>
    </row>
    <row r="134" spans="11:15" ht="13.2">
      <c r="K134" s="1"/>
    </row>
    <row r="135" spans="11:15" ht="13.2">
      <c r="K135" s="1"/>
    </row>
    <row r="136" spans="11:15" ht="13.2">
      <c r="K136" s="1"/>
    </row>
    <row r="137" spans="11:15" ht="13.2">
      <c r="K137" s="1"/>
    </row>
    <row r="138" spans="11:15" ht="13.2">
      <c r="K138" s="1"/>
    </row>
    <row r="139" spans="11:15" ht="13.2">
      <c r="K139" s="1"/>
    </row>
    <row r="140" spans="11:15" ht="13.2">
      <c r="K140" s="1"/>
    </row>
    <row r="141" spans="11:15" ht="13.2">
      <c r="K141" s="1"/>
    </row>
    <row r="142" spans="11:15" ht="13.2">
      <c r="K142" s="1"/>
    </row>
    <row r="143" spans="11:15" ht="13.2">
      <c r="K143" s="1"/>
    </row>
    <row r="144" spans="11:15" ht="13.2">
      <c r="K144" s="1"/>
    </row>
    <row r="145" spans="11:11" ht="13.2">
      <c r="K145" s="1"/>
    </row>
    <row r="146" spans="11:11" ht="13.2">
      <c r="K146" s="1"/>
    </row>
    <row r="147" spans="11:11" ht="13.2">
      <c r="K147" s="1"/>
    </row>
    <row r="148" spans="11:11" ht="13.2">
      <c r="K148" s="1"/>
    </row>
    <row r="149" spans="11:11" ht="13.2">
      <c r="K149" s="1"/>
    </row>
    <row r="150" spans="11:11" ht="13.2">
      <c r="K150" s="1"/>
    </row>
    <row r="151" spans="11:11" ht="13.2">
      <c r="K151" s="1"/>
    </row>
    <row r="152" spans="11:11" ht="13.2">
      <c r="K152" s="1"/>
    </row>
    <row r="153" spans="11:11" ht="13.2">
      <c r="K153" s="1"/>
    </row>
    <row r="154" spans="11:11" ht="13.2">
      <c r="K154" s="1"/>
    </row>
    <row r="155" spans="11:11" ht="13.2">
      <c r="K155" s="1"/>
    </row>
    <row r="156" spans="11:11" ht="13.2">
      <c r="K156" s="1"/>
    </row>
    <row r="157" spans="11:11" ht="13.2">
      <c r="K157" s="1"/>
    </row>
    <row r="158" spans="11:11" ht="13.2">
      <c r="K158" s="1"/>
    </row>
    <row r="159" spans="11:11" ht="13.2">
      <c r="K159" s="1"/>
    </row>
    <row r="160" spans="11:11" ht="13.2">
      <c r="K160" s="1"/>
    </row>
    <row r="161" spans="11:11" ht="13.2">
      <c r="K161" s="1"/>
    </row>
    <row r="162" spans="11:11" ht="13.2">
      <c r="K162" s="1"/>
    </row>
    <row r="163" spans="11:11" ht="13.2">
      <c r="K163" s="1"/>
    </row>
    <row r="164" spans="11:11" ht="13.2">
      <c r="K164" s="1"/>
    </row>
    <row r="165" spans="11:11" ht="13.2">
      <c r="K165" s="1"/>
    </row>
    <row r="166" spans="11:11" ht="13.2">
      <c r="K166" s="1"/>
    </row>
    <row r="167" spans="11:11" ht="13.2">
      <c r="K167" s="1"/>
    </row>
    <row r="168" spans="11:11" ht="13.2">
      <c r="K168" s="1"/>
    </row>
    <row r="169" spans="11:11" ht="13.2">
      <c r="K169" s="1"/>
    </row>
    <row r="170" spans="11:11" ht="13.2">
      <c r="K170" s="1"/>
    </row>
    <row r="171" spans="11:11" ht="13.2">
      <c r="K171" s="1"/>
    </row>
    <row r="172" spans="11:11" ht="13.2">
      <c r="K172" s="1"/>
    </row>
    <row r="173" spans="11:11" ht="13.2">
      <c r="K173" s="1"/>
    </row>
    <row r="174" spans="11:11" ht="13.2">
      <c r="K174" s="1"/>
    </row>
    <row r="175" spans="11:11" ht="13.2">
      <c r="K175" s="1"/>
    </row>
    <row r="176" spans="11:11" ht="13.2">
      <c r="K176" s="1"/>
    </row>
    <row r="177" spans="11:11" ht="13.2">
      <c r="K177" s="1"/>
    </row>
    <row r="178" spans="11:11" ht="13.2">
      <c r="K178" s="1"/>
    </row>
    <row r="179" spans="11:11" ht="13.2">
      <c r="K179" s="1"/>
    </row>
    <row r="180" spans="11:11" ht="13.2">
      <c r="K180" s="1"/>
    </row>
    <row r="181" spans="11:11" ht="13.2">
      <c r="K181" s="1"/>
    </row>
    <row r="182" spans="11:11" ht="13.2">
      <c r="K182" s="1"/>
    </row>
    <row r="183" spans="11:11" ht="13.2">
      <c r="K183" s="1"/>
    </row>
    <row r="184" spans="11:11" ht="13.2">
      <c r="K184" s="1"/>
    </row>
    <row r="185" spans="11:11" ht="13.2">
      <c r="K185" s="1"/>
    </row>
    <row r="186" spans="11:11" ht="13.2">
      <c r="K186" s="1"/>
    </row>
    <row r="187" spans="11:11" ht="13.2">
      <c r="K187" s="1"/>
    </row>
    <row r="188" spans="11:11" ht="13.2">
      <c r="K188" s="1"/>
    </row>
    <row r="189" spans="11:11" ht="13.2">
      <c r="K189" s="1"/>
    </row>
    <row r="190" spans="11:11" ht="13.2">
      <c r="K190" s="1"/>
    </row>
    <row r="191" spans="11:11" ht="13.2">
      <c r="K191" s="1"/>
    </row>
    <row r="192" spans="11:11" ht="13.2">
      <c r="K192" s="1"/>
    </row>
    <row r="193" spans="11:11" ht="13.2">
      <c r="K193" s="1"/>
    </row>
    <row r="194" spans="11:11" ht="13.2">
      <c r="K194" s="1"/>
    </row>
    <row r="195" spans="11:11" ht="13.2">
      <c r="K195" s="1"/>
    </row>
    <row r="196" spans="11:11" ht="13.2">
      <c r="K196" s="1"/>
    </row>
    <row r="197" spans="11:11" ht="13.2">
      <c r="K197" s="1"/>
    </row>
    <row r="198" spans="11:11" ht="13.2">
      <c r="K198" s="1"/>
    </row>
    <row r="199" spans="11:11" ht="13.2">
      <c r="K199" s="1"/>
    </row>
    <row r="200" spans="11:11" ht="13.2">
      <c r="K200" s="1"/>
    </row>
    <row r="201" spans="11:11" ht="13.2">
      <c r="K201" s="1"/>
    </row>
    <row r="202" spans="11:11" ht="13.2">
      <c r="K202" s="1"/>
    </row>
    <row r="203" spans="11:11" ht="13.2">
      <c r="K203" s="1"/>
    </row>
    <row r="204" spans="11:11" ht="13.2">
      <c r="K204" s="1"/>
    </row>
    <row r="205" spans="11:11" ht="13.2">
      <c r="K205" s="1"/>
    </row>
    <row r="206" spans="11:11" ht="13.2">
      <c r="K206" s="1"/>
    </row>
    <row r="207" spans="11:11" ht="13.2">
      <c r="K207" s="1"/>
    </row>
    <row r="208" spans="11:11" ht="13.2">
      <c r="K208" s="1"/>
    </row>
    <row r="209" spans="11:11" ht="13.2">
      <c r="K209" s="1"/>
    </row>
    <row r="210" spans="11:11" ht="13.2">
      <c r="K210" s="1"/>
    </row>
    <row r="211" spans="11:11" ht="13.2">
      <c r="K211" s="1"/>
    </row>
    <row r="212" spans="11:11" ht="13.2">
      <c r="K212" s="1"/>
    </row>
    <row r="213" spans="11:11" ht="13.2">
      <c r="K213" s="1"/>
    </row>
    <row r="214" spans="11:11" ht="13.2">
      <c r="K214" s="1"/>
    </row>
    <row r="215" spans="11:11" ht="13.2">
      <c r="K215" s="1"/>
    </row>
    <row r="216" spans="11:11" ht="13.2">
      <c r="K216" s="1"/>
    </row>
    <row r="217" spans="11:11" ht="13.2">
      <c r="K217" s="1"/>
    </row>
    <row r="218" spans="11:11" ht="13.2">
      <c r="K218" s="1"/>
    </row>
    <row r="219" spans="11:11" ht="13.2">
      <c r="K219" s="1"/>
    </row>
    <row r="220" spans="11:11" ht="13.2">
      <c r="K220" s="1"/>
    </row>
    <row r="221" spans="11:11" ht="13.2">
      <c r="K221" s="1"/>
    </row>
    <row r="222" spans="11:11" ht="13.2">
      <c r="K222" s="1"/>
    </row>
    <row r="223" spans="11:11" ht="13.2">
      <c r="K223" s="1"/>
    </row>
    <row r="224" spans="11:11" ht="13.2">
      <c r="K224" s="1"/>
    </row>
    <row r="225" spans="11:11" ht="13.2">
      <c r="K225" s="1"/>
    </row>
    <row r="226" spans="11:11" ht="13.2">
      <c r="K226" s="1"/>
    </row>
    <row r="227" spans="11:11" ht="13.2">
      <c r="K227" s="1"/>
    </row>
    <row r="228" spans="11:11" ht="13.2">
      <c r="K228" s="1"/>
    </row>
    <row r="229" spans="11:11" ht="13.2">
      <c r="K229" s="1"/>
    </row>
    <row r="230" spans="11:11" ht="13.2">
      <c r="K230" s="1"/>
    </row>
    <row r="231" spans="11:11" ht="13.2">
      <c r="K231" s="1"/>
    </row>
    <row r="232" spans="11:11" ht="13.2">
      <c r="K232" s="1"/>
    </row>
    <row r="233" spans="11:11" ht="13.2">
      <c r="K233" s="1"/>
    </row>
    <row r="234" spans="11:11" ht="13.2">
      <c r="K234" s="1"/>
    </row>
    <row r="235" spans="11:11" ht="13.2">
      <c r="K235" s="1"/>
    </row>
    <row r="236" spans="11:11" ht="13.2">
      <c r="K236" s="1"/>
    </row>
    <row r="237" spans="11:11" ht="13.2">
      <c r="K237" s="1"/>
    </row>
    <row r="238" spans="11:11" ht="13.2">
      <c r="K238" s="1"/>
    </row>
    <row r="239" spans="11:11" ht="13.2">
      <c r="K239" s="1"/>
    </row>
    <row r="240" spans="11:11" ht="13.2">
      <c r="K240" s="1"/>
    </row>
    <row r="241" spans="11:11" ht="13.2">
      <c r="K241" s="1"/>
    </row>
    <row r="242" spans="11:11" ht="13.2">
      <c r="K242" s="1"/>
    </row>
    <row r="243" spans="11:11" ht="13.2">
      <c r="K243" s="1"/>
    </row>
    <row r="244" spans="11:11" ht="13.2">
      <c r="K244" s="1"/>
    </row>
    <row r="245" spans="11:11" ht="13.2">
      <c r="K245" s="1"/>
    </row>
    <row r="246" spans="11:11" ht="13.2">
      <c r="K246" s="1"/>
    </row>
    <row r="247" spans="11:11" ht="13.2">
      <c r="K247" s="1"/>
    </row>
    <row r="248" spans="11:11" ht="13.2">
      <c r="K248" s="1"/>
    </row>
    <row r="249" spans="11:11" ht="13.2">
      <c r="K249" s="1"/>
    </row>
    <row r="250" spans="11:11" ht="13.2">
      <c r="K250" s="1"/>
    </row>
    <row r="251" spans="11:11" ht="13.2">
      <c r="K251" s="1"/>
    </row>
    <row r="252" spans="11:11" ht="13.2">
      <c r="K252" s="1"/>
    </row>
    <row r="253" spans="11:11" ht="13.2">
      <c r="K253" s="1"/>
    </row>
    <row r="254" spans="11:11" ht="13.2">
      <c r="K254" s="1"/>
    </row>
    <row r="255" spans="11:11" ht="13.2">
      <c r="K255" s="1"/>
    </row>
    <row r="256" spans="11:11" ht="13.2">
      <c r="K256" s="1"/>
    </row>
    <row r="257" spans="11:11" ht="13.2">
      <c r="K257" s="1"/>
    </row>
    <row r="258" spans="11:11" ht="13.2">
      <c r="K258" s="1"/>
    </row>
    <row r="259" spans="11:11" ht="13.2">
      <c r="K259" s="1"/>
    </row>
    <row r="260" spans="11:11" ht="13.2">
      <c r="K260" s="1"/>
    </row>
    <row r="261" spans="11:11" ht="13.2">
      <c r="K261" s="1"/>
    </row>
    <row r="262" spans="11:11" ht="13.2">
      <c r="K262" s="1"/>
    </row>
    <row r="263" spans="11:11" ht="13.2">
      <c r="K263" s="1"/>
    </row>
    <row r="264" spans="11:11" ht="13.2">
      <c r="K264" s="1"/>
    </row>
    <row r="265" spans="11:11" ht="13.2">
      <c r="K265" s="1"/>
    </row>
    <row r="266" spans="11:11" ht="13.2">
      <c r="K266" s="1"/>
    </row>
    <row r="267" spans="11:11" ht="13.2">
      <c r="K267" s="1"/>
    </row>
    <row r="268" spans="11:11" ht="13.2">
      <c r="K268" s="1"/>
    </row>
    <row r="269" spans="11:11" ht="13.2">
      <c r="K269" s="1"/>
    </row>
    <row r="270" spans="11:11" ht="13.2">
      <c r="K270" s="1"/>
    </row>
    <row r="271" spans="11:11" ht="13.2">
      <c r="K271" s="1"/>
    </row>
    <row r="272" spans="11:11" ht="13.2">
      <c r="K272" s="1"/>
    </row>
    <row r="273" spans="11:11" ht="13.2">
      <c r="K273" s="1"/>
    </row>
    <row r="274" spans="11:11" ht="13.2">
      <c r="K274" s="1"/>
    </row>
    <row r="275" spans="11:11" ht="13.2">
      <c r="K275" s="1"/>
    </row>
    <row r="276" spans="11:11" ht="13.2">
      <c r="K276" s="1"/>
    </row>
    <row r="277" spans="11:11" ht="13.2">
      <c r="K277" s="1"/>
    </row>
    <row r="278" spans="11:11" ht="13.2">
      <c r="K278" s="1"/>
    </row>
    <row r="279" spans="11:11" ht="13.2">
      <c r="K279" s="1"/>
    </row>
    <row r="280" spans="11:11" ht="13.2">
      <c r="K280" s="1"/>
    </row>
    <row r="281" spans="11:11" ht="13.2">
      <c r="K281" s="1"/>
    </row>
    <row r="282" spans="11:11" ht="13.2">
      <c r="K282" s="1"/>
    </row>
    <row r="283" spans="11:11" ht="13.2">
      <c r="K283" s="1"/>
    </row>
    <row r="284" spans="11:11" ht="13.2">
      <c r="K284" s="1"/>
    </row>
    <row r="285" spans="11:11" ht="13.2">
      <c r="K285" s="1"/>
    </row>
    <row r="286" spans="11:11" ht="13.2">
      <c r="K286" s="1"/>
    </row>
    <row r="287" spans="11:11" ht="13.2">
      <c r="K287" s="1"/>
    </row>
    <row r="288" spans="11:11" ht="13.2">
      <c r="K288" s="1"/>
    </row>
    <row r="289" spans="11:11" ht="13.2">
      <c r="K289" s="1"/>
    </row>
    <row r="290" spans="11:11" ht="13.2">
      <c r="K290" s="1"/>
    </row>
    <row r="291" spans="11:11" ht="13.2">
      <c r="K291" s="1"/>
    </row>
    <row r="292" spans="11:11" ht="13.2">
      <c r="K292" s="1"/>
    </row>
    <row r="293" spans="11:11" ht="13.2">
      <c r="K293" s="1"/>
    </row>
    <row r="294" spans="11:11" ht="13.2">
      <c r="K294" s="1"/>
    </row>
    <row r="295" spans="11:11" ht="13.2">
      <c r="K295" s="1"/>
    </row>
    <row r="296" spans="11:11" ht="13.2">
      <c r="K296" s="1"/>
    </row>
    <row r="297" spans="11:11" ht="13.2">
      <c r="K297" s="1"/>
    </row>
    <row r="298" spans="11:11" ht="13.2">
      <c r="K298" s="1"/>
    </row>
    <row r="299" spans="11:11" ht="13.2">
      <c r="K299" s="1"/>
    </row>
    <row r="300" spans="11:11" ht="13.2">
      <c r="K300" s="1"/>
    </row>
    <row r="301" spans="11:11" ht="13.2">
      <c r="K301" s="1"/>
    </row>
    <row r="302" spans="11:11" ht="13.2">
      <c r="K302" s="1"/>
    </row>
    <row r="303" spans="11:11" ht="13.2">
      <c r="K303" s="1"/>
    </row>
    <row r="304" spans="11:11" ht="13.2">
      <c r="K304" s="1"/>
    </row>
    <row r="305" spans="11:11" ht="13.2">
      <c r="K305" s="1"/>
    </row>
    <row r="306" spans="11:11" ht="13.2">
      <c r="K306" s="1"/>
    </row>
    <row r="307" spans="11:11" ht="13.2">
      <c r="K307" s="1"/>
    </row>
    <row r="308" spans="11:11" ht="13.2">
      <c r="K308" s="1"/>
    </row>
    <row r="309" spans="11:11" ht="13.2">
      <c r="K309" s="1"/>
    </row>
    <row r="310" spans="11:11" ht="13.2">
      <c r="K310" s="1"/>
    </row>
    <row r="311" spans="11:11" ht="13.2">
      <c r="K311" s="1"/>
    </row>
    <row r="312" spans="11:11" ht="13.2">
      <c r="K312" s="1"/>
    </row>
    <row r="313" spans="11:11" ht="13.2">
      <c r="K313" s="1"/>
    </row>
    <row r="314" spans="11:11" ht="13.2">
      <c r="K314" s="1"/>
    </row>
    <row r="315" spans="11:11" ht="13.2">
      <c r="K315" s="1"/>
    </row>
    <row r="316" spans="11:11" ht="13.2">
      <c r="K316" s="1"/>
    </row>
    <row r="317" spans="11:11" ht="13.2">
      <c r="K317" s="1"/>
    </row>
    <row r="318" spans="11:11" ht="13.2">
      <c r="K318" s="1"/>
    </row>
    <row r="319" spans="11:11" ht="13.2">
      <c r="K319" s="1"/>
    </row>
    <row r="320" spans="11:11" ht="13.2">
      <c r="K320" s="1"/>
    </row>
    <row r="321" spans="11:11" ht="13.2">
      <c r="K321" s="1"/>
    </row>
    <row r="322" spans="11:11" ht="13.2">
      <c r="K322" s="1"/>
    </row>
    <row r="323" spans="11:11" ht="13.2">
      <c r="K323" s="1"/>
    </row>
    <row r="324" spans="11:11" ht="13.2">
      <c r="K324" s="1"/>
    </row>
    <row r="325" spans="11:11" ht="13.2">
      <c r="K325" s="1"/>
    </row>
    <row r="326" spans="11:11" ht="13.2">
      <c r="K326" s="1"/>
    </row>
    <row r="327" spans="11:11" ht="13.2">
      <c r="K327" s="1"/>
    </row>
    <row r="328" spans="11:11" ht="13.2">
      <c r="K328" s="1"/>
    </row>
    <row r="329" spans="11:11" ht="13.2">
      <c r="K329" s="1"/>
    </row>
    <row r="330" spans="11:11" ht="13.2">
      <c r="K330" s="1"/>
    </row>
    <row r="331" spans="11:11" ht="13.2">
      <c r="K331" s="1"/>
    </row>
    <row r="332" spans="11:11" ht="13.2">
      <c r="K332" s="1"/>
    </row>
    <row r="333" spans="11:11" ht="13.2">
      <c r="K333" s="1"/>
    </row>
    <row r="334" spans="11:11" ht="13.2">
      <c r="K334" s="1"/>
    </row>
    <row r="335" spans="11:11" ht="13.2">
      <c r="K335" s="1"/>
    </row>
    <row r="336" spans="11:11" ht="13.2">
      <c r="K336" s="1"/>
    </row>
    <row r="337" spans="11:11" ht="13.2">
      <c r="K337" s="1"/>
    </row>
    <row r="338" spans="11:11" ht="13.2">
      <c r="K338" s="1"/>
    </row>
    <row r="339" spans="11:11" ht="13.2">
      <c r="K339" s="1"/>
    </row>
    <row r="340" spans="11:11" ht="13.2">
      <c r="K340" s="1"/>
    </row>
    <row r="341" spans="11:11" ht="13.2">
      <c r="K341" s="1"/>
    </row>
    <row r="342" spans="11:11" ht="13.2">
      <c r="K342" s="1"/>
    </row>
    <row r="343" spans="11:11" ht="13.2">
      <c r="K343" s="1"/>
    </row>
    <row r="344" spans="11:11" ht="13.2">
      <c r="K344" s="1"/>
    </row>
    <row r="345" spans="11:11" ht="13.2">
      <c r="K345" s="1"/>
    </row>
    <row r="346" spans="11:11" ht="13.2">
      <c r="K346" s="1"/>
    </row>
    <row r="347" spans="11:11" ht="13.2">
      <c r="K347" s="1"/>
    </row>
    <row r="348" spans="11:11" ht="13.2">
      <c r="K348" s="1"/>
    </row>
    <row r="349" spans="11:11" ht="13.2">
      <c r="K349" s="1"/>
    </row>
    <row r="350" spans="11:11" ht="13.2">
      <c r="K350" s="1"/>
    </row>
    <row r="351" spans="11:11" ht="13.2">
      <c r="K351" s="1"/>
    </row>
    <row r="352" spans="11:11" ht="13.2">
      <c r="K352" s="1"/>
    </row>
    <row r="353" spans="11:11" ht="13.2">
      <c r="K353" s="1"/>
    </row>
    <row r="354" spans="11:11" ht="13.2">
      <c r="K354" s="1"/>
    </row>
    <row r="355" spans="11:11" ht="13.2">
      <c r="K355" s="1"/>
    </row>
    <row r="356" spans="11:11" ht="13.2">
      <c r="K356" s="1"/>
    </row>
    <row r="357" spans="11:11" ht="13.2">
      <c r="K357" s="1"/>
    </row>
    <row r="358" spans="11:11" ht="13.2">
      <c r="K358" s="1"/>
    </row>
    <row r="359" spans="11:11" ht="13.2">
      <c r="K359" s="1"/>
    </row>
    <row r="360" spans="11:11" ht="13.2">
      <c r="K360" s="1"/>
    </row>
    <row r="361" spans="11:11" ht="13.2">
      <c r="K361" s="1"/>
    </row>
    <row r="362" spans="11:11" ht="13.2">
      <c r="K362" s="1"/>
    </row>
    <row r="363" spans="11:11" ht="13.2">
      <c r="K363" s="1"/>
    </row>
    <row r="364" spans="11:11" ht="13.2">
      <c r="K364" s="1"/>
    </row>
    <row r="365" spans="11:11" ht="13.2">
      <c r="K365" s="1"/>
    </row>
    <row r="366" spans="11:11" ht="13.2">
      <c r="K366" s="1"/>
    </row>
    <row r="367" spans="11:11" ht="13.2">
      <c r="K367" s="1"/>
    </row>
    <row r="368" spans="11:11" ht="13.2">
      <c r="K368" s="1"/>
    </row>
    <row r="369" spans="11:11" ht="13.2">
      <c r="K369" s="1"/>
    </row>
    <row r="370" spans="11:11" ht="13.2">
      <c r="K370" s="1"/>
    </row>
    <row r="371" spans="11:11" ht="13.2">
      <c r="K371" s="1"/>
    </row>
    <row r="372" spans="11:11" ht="13.2">
      <c r="K372" s="1"/>
    </row>
    <row r="373" spans="11:11" ht="13.2">
      <c r="K373" s="1"/>
    </row>
    <row r="374" spans="11:11" ht="13.2">
      <c r="K374" s="1"/>
    </row>
    <row r="375" spans="11:11" ht="13.2">
      <c r="K375" s="1"/>
    </row>
    <row r="376" spans="11:11" ht="13.2">
      <c r="K376" s="1"/>
    </row>
    <row r="377" spans="11:11" ht="13.2">
      <c r="K377" s="1"/>
    </row>
    <row r="378" spans="11:11" ht="13.2">
      <c r="K378" s="1"/>
    </row>
    <row r="379" spans="11:11" ht="13.2">
      <c r="K379" s="1"/>
    </row>
    <row r="380" spans="11:11" ht="13.2">
      <c r="K380" s="1"/>
    </row>
    <row r="381" spans="11:11" ht="13.2">
      <c r="K381" s="1"/>
    </row>
    <row r="382" spans="11:11" ht="13.2">
      <c r="K382" s="1"/>
    </row>
    <row r="383" spans="11:11" ht="13.2">
      <c r="K383" s="1"/>
    </row>
    <row r="384" spans="11:11" ht="13.2">
      <c r="K384" s="1"/>
    </row>
    <row r="385" spans="11:11" ht="13.2">
      <c r="K385" s="1"/>
    </row>
    <row r="386" spans="11:11" ht="13.2">
      <c r="K386" s="1"/>
    </row>
    <row r="387" spans="11:11" ht="13.2">
      <c r="K387" s="1"/>
    </row>
    <row r="388" spans="11:11" ht="13.2">
      <c r="K388" s="1"/>
    </row>
    <row r="389" spans="11:11" ht="13.2">
      <c r="K389" s="1"/>
    </row>
    <row r="390" spans="11:11" ht="13.2">
      <c r="K390" s="1"/>
    </row>
    <row r="391" spans="11:11" ht="13.2">
      <c r="K391" s="1"/>
    </row>
    <row r="392" spans="11:11" ht="13.2">
      <c r="K392" s="1"/>
    </row>
    <row r="393" spans="11:11" ht="13.2">
      <c r="K393" s="1"/>
    </row>
    <row r="394" spans="11:11" ht="13.2">
      <c r="K394" s="1"/>
    </row>
    <row r="395" spans="11:11" ht="13.2">
      <c r="K395" s="1"/>
    </row>
    <row r="396" spans="11:11" ht="13.2">
      <c r="K396" s="1"/>
    </row>
    <row r="397" spans="11:11" ht="13.2">
      <c r="K397" s="1"/>
    </row>
    <row r="398" spans="11:11" ht="13.2">
      <c r="K398" s="1"/>
    </row>
    <row r="399" spans="11:11" ht="13.2">
      <c r="K399" s="1"/>
    </row>
    <row r="400" spans="11:11" ht="13.2">
      <c r="K400" s="1"/>
    </row>
    <row r="401" spans="11:11" ht="13.2">
      <c r="K401" s="1"/>
    </row>
    <row r="402" spans="11:11" ht="13.2">
      <c r="K402" s="1"/>
    </row>
    <row r="403" spans="11:11" ht="13.2">
      <c r="K403" s="1"/>
    </row>
    <row r="404" spans="11:11" ht="13.2">
      <c r="K404" s="1"/>
    </row>
    <row r="405" spans="11:11" ht="13.2">
      <c r="K405" s="1"/>
    </row>
    <row r="406" spans="11:11" ht="13.2">
      <c r="K406" s="1"/>
    </row>
    <row r="407" spans="11:11" ht="13.2">
      <c r="K407" s="1"/>
    </row>
    <row r="408" spans="11:11" ht="13.2">
      <c r="K408" s="1"/>
    </row>
    <row r="409" spans="11:11" ht="13.2">
      <c r="K409" s="1"/>
    </row>
    <row r="410" spans="11:11" ht="13.2">
      <c r="K410" s="1"/>
    </row>
    <row r="411" spans="11:11" ht="13.2">
      <c r="K411" s="1"/>
    </row>
    <row r="412" spans="11:11" ht="13.2">
      <c r="K412" s="1"/>
    </row>
    <row r="413" spans="11:11" ht="13.2">
      <c r="K413" s="1"/>
    </row>
    <row r="414" spans="11:11" ht="13.2">
      <c r="K414" s="1"/>
    </row>
    <row r="415" spans="11:11" ht="13.2">
      <c r="K415" s="1"/>
    </row>
    <row r="416" spans="11:11" ht="13.2">
      <c r="K416" s="1"/>
    </row>
    <row r="417" spans="11:11" ht="13.2">
      <c r="K417" s="1"/>
    </row>
    <row r="418" spans="11:11" ht="13.2">
      <c r="K418" s="1"/>
    </row>
    <row r="419" spans="11:11" ht="13.2">
      <c r="K419" s="1"/>
    </row>
    <row r="420" spans="11:11" ht="13.2">
      <c r="K420" s="1"/>
    </row>
    <row r="421" spans="11:11" ht="13.2">
      <c r="K421" s="1"/>
    </row>
    <row r="422" spans="11:11" ht="13.2">
      <c r="K422" s="1"/>
    </row>
    <row r="423" spans="11:11" ht="13.2">
      <c r="K423" s="1"/>
    </row>
    <row r="424" spans="11:11" ht="13.2">
      <c r="K424" s="1"/>
    </row>
    <row r="425" spans="11:11" ht="13.2">
      <c r="K425" s="1"/>
    </row>
    <row r="426" spans="11:11" ht="13.2">
      <c r="K426" s="1"/>
    </row>
    <row r="427" spans="11:11" ht="13.2">
      <c r="K427" s="1"/>
    </row>
    <row r="428" spans="11:11" ht="13.2">
      <c r="K428" s="1"/>
    </row>
    <row r="429" spans="11:11" ht="13.2">
      <c r="K429" s="1"/>
    </row>
    <row r="430" spans="11:11" ht="13.2">
      <c r="K430" s="1"/>
    </row>
    <row r="431" spans="11:11" ht="13.2">
      <c r="K431" s="1"/>
    </row>
    <row r="432" spans="11:11" ht="13.2">
      <c r="K432" s="1"/>
    </row>
    <row r="433" spans="11:11" ht="13.2">
      <c r="K433" s="1"/>
    </row>
    <row r="434" spans="11:11" ht="13.2">
      <c r="K434" s="1"/>
    </row>
    <row r="435" spans="11:11" ht="13.2">
      <c r="K435" s="1"/>
    </row>
    <row r="436" spans="11:11" ht="13.2">
      <c r="K436" s="1"/>
    </row>
    <row r="437" spans="11:11" ht="13.2">
      <c r="K437" s="1"/>
    </row>
    <row r="438" spans="11:11" ht="13.2">
      <c r="K438" s="1"/>
    </row>
    <row r="439" spans="11:11" ht="13.2">
      <c r="K439" s="1"/>
    </row>
    <row r="440" spans="11:11" ht="13.2">
      <c r="K440" s="1"/>
    </row>
    <row r="441" spans="11:11" ht="13.2">
      <c r="K441" s="1"/>
    </row>
    <row r="442" spans="11:11" ht="13.2">
      <c r="K442" s="1"/>
    </row>
    <row r="443" spans="11:11" ht="13.2">
      <c r="K443" s="1"/>
    </row>
    <row r="444" spans="11:11" ht="13.2">
      <c r="K444" s="1"/>
    </row>
    <row r="445" spans="11:11" ht="13.2">
      <c r="K445" s="1"/>
    </row>
    <row r="446" spans="11:11" ht="13.2">
      <c r="K446" s="1"/>
    </row>
    <row r="447" spans="11:11" ht="13.2">
      <c r="K447" s="1"/>
    </row>
    <row r="448" spans="11:11" ht="13.2">
      <c r="K448" s="1"/>
    </row>
    <row r="449" spans="11:11" ht="13.2">
      <c r="K449" s="1"/>
    </row>
    <row r="450" spans="11:11" ht="13.2">
      <c r="K450" s="1"/>
    </row>
    <row r="451" spans="11:11" ht="13.2">
      <c r="K451" s="1"/>
    </row>
    <row r="452" spans="11:11" ht="13.2">
      <c r="K452" s="1"/>
    </row>
    <row r="453" spans="11:11" ht="13.2">
      <c r="K453" s="1"/>
    </row>
    <row r="454" spans="11:11" ht="13.2">
      <c r="K454" s="1"/>
    </row>
    <row r="455" spans="11:11" ht="13.2">
      <c r="K455" s="1"/>
    </row>
    <row r="456" spans="11:11" ht="13.2">
      <c r="K456" s="1"/>
    </row>
    <row r="457" spans="11:11" ht="13.2">
      <c r="K457" s="1"/>
    </row>
    <row r="458" spans="11:11" ht="13.2">
      <c r="K458" s="1"/>
    </row>
    <row r="459" spans="11:11" ht="13.2">
      <c r="K459" s="1"/>
    </row>
    <row r="460" spans="11:11" ht="13.2">
      <c r="K460" s="1"/>
    </row>
    <row r="461" spans="11:11" ht="13.2">
      <c r="K461" s="1"/>
    </row>
    <row r="462" spans="11:11" ht="13.2">
      <c r="K462" s="1"/>
    </row>
    <row r="463" spans="11:11" ht="13.2">
      <c r="K463" s="1"/>
    </row>
    <row r="464" spans="11:11" ht="13.2">
      <c r="K464" s="1"/>
    </row>
    <row r="465" spans="11:11" ht="13.2">
      <c r="K465" s="1"/>
    </row>
    <row r="466" spans="11:11" ht="13.2">
      <c r="K466" s="1"/>
    </row>
    <row r="467" spans="11:11" ht="13.2">
      <c r="K467" s="1"/>
    </row>
    <row r="468" spans="11:11" ht="13.2">
      <c r="K468" s="1"/>
    </row>
    <row r="469" spans="11:11" ht="13.2">
      <c r="K469" s="1"/>
    </row>
    <row r="470" spans="11:11" ht="13.2">
      <c r="K470" s="1"/>
    </row>
    <row r="471" spans="11:11" ht="13.2">
      <c r="K471" s="1"/>
    </row>
    <row r="472" spans="11:11" ht="13.2">
      <c r="K472" s="1"/>
    </row>
    <row r="473" spans="11:11" ht="13.2">
      <c r="K473" s="1"/>
    </row>
    <row r="474" spans="11:11" ht="13.2">
      <c r="K474" s="1"/>
    </row>
    <row r="475" spans="11:11" ht="13.2">
      <c r="K475" s="1"/>
    </row>
    <row r="476" spans="11:11" ht="13.2">
      <c r="K476" s="1"/>
    </row>
    <row r="477" spans="11:11" ht="13.2">
      <c r="K477" s="1"/>
    </row>
    <row r="478" spans="11:11" ht="13.2">
      <c r="K478" s="1"/>
    </row>
    <row r="479" spans="11:11" ht="13.2">
      <c r="K479" s="1"/>
    </row>
    <row r="480" spans="11:11" ht="13.2">
      <c r="K480" s="1"/>
    </row>
    <row r="481" spans="11:11" ht="13.2">
      <c r="K481" s="1"/>
    </row>
    <row r="482" spans="11:11" ht="13.2">
      <c r="K482" s="1"/>
    </row>
    <row r="483" spans="11:11" ht="13.2">
      <c r="K483" s="1"/>
    </row>
    <row r="484" spans="11:11" ht="13.2">
      <c r="K484" s="1"/>
    </row>
    <row r="485" spans="11:11" ht="13.2">
      <c r="K485" s="1"/>
    </row>
    <row r="486" spans="11:11" ht="13.2">
      <c r="K486" s="1"/>
    </row>
    <row r="487" spans="11:11" ht="13.2">
      <c r="K487" s="1"/>
    </row>
    <row r="488" spans="11:11" ht="13.2">
      <c r="K488" s="1"/>
    </row>
    <row r="489" spans="11:11" ht="13.2">
      <c r="K489" s="1"/>
    </row>
    <row r="490" spans="11:11" ht="13.2">
      <c r="K490" s="1"/>
    </row>
    <row r="491" spans="11:11" ht="13.2">
      <c r="K491" s="1"/>
    </row>
    <row r="492" spans="11:11" ht="13.2">
      <c r="K492" s="1"/>
    </row>
    <row r="493" spans="11:11" ht="13.2">
      <c r="K493" s="1"/>
    </row>
    <row r="494" spans="11:11" ht="13.2">
      <c r="K494" s="1"/>
    </row>
    <row r="495" spans="11:11" ht="13.2">
      <c r="K495" s="1"/>
    </row>
    <row r="496" spans="11:11" ht="13.2">
      <c r="K496" s="1"/>
    </row>
    <row r="497" spans="11:11" ht="13.2">
      <c r="K497" s="1"/>
    </row>
    <row r="498" spans="11:11" ht="13.2">
      <c r="K498" s="1"/>
    </row>
    <row r="499" spans="11:11" ht="13.2">
      <c r="K499" s="1"/>
    </row>
    <row r="500" spans="11:11" ht="13.2">
      <c r="K500" s="1"/>
    </row>
    <row r="501" spans="11:11" ht="13.2">
      <c r="K501" s="1"/>
    </row>
    <row r="502" spans="11:11" ht="13.2">
      <c r="K502" s="1"/>
    </row>
    <row r="503" spans="11:11" ht="13.2">
      <c r="K503" s="1"/>
    </row>
    <row r="504" spans="11:11" ht="13.2">
      <c r="K504" s="1"/>
    </row>
    <row r="505" spans="11:11" ht="13.2">
      <c r="K505" s="1"/>
    </row>
    <row r="506" spans="11:11" ht="13.2">
      <c r="K506" s="1"/>
    </row>
    <row r="507" spans="11:11" ht="13.2">
      <c r="K507" s="1"/>
    </row>
    <row r="508" spans="11:11" ht="13.2">
      <c r="K508" s="1"/>
    </row>
    <row r="509" spans="11:11" ht="13.2">
      <c r="K509" s="1"/>
    </row>
    <row r="510" spans="11:11" ht="13.2">
      <c r="K510" s="1"/>
    </row>
    <row r="511" spans="11:11" ht="13.2">
      <c r="K511" s="1"/>
    </row>
    <row r="512" spans="11:11" ht="13.2">
      <c r="K512" s="1"/>
    </row>
    <row r="513" spans="11:11" ht="13.2">
      <c r="K513" s="1"/>
    </row>
    <row r="514" spans="11:11" ht="13.2">
      <c r="K514" s="1"/>
    </row>
    <row r="515" spans="11:11" ht="13.2">
      <c r="K515" s="1"/>
    </row>
    <row r="516" spans="11:11" ht="13.2">
      <c r="K516" s="1"/>
    </row>
    <row r="517" spans="11:11" ht="13.2">
      <c r="K517" s="1"/>
    </row>
    <row r="518" spans="11:11" ht="13.2">
      <c r="K518" s="1"/>
    </row>
    <row r="519" spans="11:11" ht="13.2">
      <c r="K519" s="1"/>
    </row>
    <row r="520" spans="11:11" ht="13.2">
      <c r="K520" s="1"/>
    </row>
    <row r="521" spans="11:11" ht="13.2">
      <c r="K521" s="1"/>
    </row>
    <row r="522" spans="11:11" ht="13.2">
      <c r="K522" s="1"/>
    </row>
    <row r="523" spans="11:11" ht="13.2">
      <c r="K523" s="1"/>
    </row>
    <row r="524" spans="11:11" ht="13.2">
      <c r="K524" s="1"/>
    </row>
    <row r="525" spans="11:11" ht="13.2">
      <c r="K525" s="1"/>
    </row>
    <row r="526" spans="11:11" ht="13.2">
      <c r="K526" s="1"/>
    </row>
    <row r="527" spans="11:11" ht="13.2">
      <c r="K527" s="1"/>
    </row>
    <row r="528" spans="11:11" ht="13.2">
      <c r="K528" s="1"/>
    </row>
    <row r="529" spans="11:11" ht="13.2">
      <c r="K529" s="1"/>
    </row>
    <row r="530" spans="11:11" ht="13.2">
      <c r="K530" s="1"/>
    </row>
    <row r="531" spans="11:11" ht="13.2">
      <c r="K531" s="1"/>
    </row>
    <row r="532" spans="11:11" ht="13.2">
      <c r="K532" s="1"/>
    </row>
    <row r="533" spans="11:11" ht="13.2">
      <c r="K533" s="1"/>
    </row>
    <row r="534" spans="11:11" ht="13.2">
      <c r="K534" s="1"/>
    </row>
    <row r="535" spans="11:11" ht="13.2">
      <c r="K535" s="1"/>
    </row>
    <row r="536" spans="11:11" ht="13.2">
      <c r="K536" s="1"/>
    </row>
    <row r="537" spans="11:11" ht="13.2">
      <c r="K537" s="1"/>
    </row>
    <row r="538" spans="11:11" ht="13.2">
      <c r="K538" s="1"/>
    </row>
    <row r="539" spans="11:11" ht="13.2">
      <c r="K539" s="1"/>
    </row>
    <row r="540" spans="11:11" ht="13.2">
      <c r="K540" s="1"/>
    </row>
    <row r="541" spans="11:11" ht="13.2">
      <c r="K541" s="1"/>
    </row>
    <row r="542" spans="11:11" ht="13.2">
      <c r="K542" s="1"/>
    </row>
    <row r="543" spans="11:11" ht="13.2">
      <c r="K543" s="1"/>
    </row>
    <row r="544" spans="11:11" ht="13.2">
      <c r="K544" s="1"/>
    </row>
    <row r="545" spans="11:11" ht="13.2">
      <c r="K545" s="1"/>
    </row>
    <row r="546" spans="11:11" ht="13.2">
      <c r="K546" s="1"/>
    </row>
    <row r="547" spans="11:11" ht="13.2">
      <c r="K547" s="1"/>
    </row>
    <row r="548" spans="11:11" ht="13.2">
      <c r="K548" s="1"/>
    </row>
    <row r="549" spans="11:11" ht="13.2">
      <c r="K549" s="1"/>
    </row>
    <row r="550" spans="11:11" ht="13.2">
      <c r="K550" s="1"/>
    </row>
    <row r="551" spans="11:11" ht="13.2">
      <c r="K551" s="1"/>
    </row>
    <row r="552" spans="11:11" ht="13.2">
      <c r="K552" s="1"/>
    </row>
    <row r="553" spans="11:11" ht="13.2">
      <c r="K553" s="1"/>
    </row>
    <row r="554" spans="11:11" ht="13.2">
      <c r="K554" s="1"/>
    </row>
    <row r="555" spans="11:11" ht="13.2">
      <c r="K555" s="1"/>
    </row>
    <row r="556" spans="11:11" ht="13.2">
      <c r="K556" s="1"/>
    </row>
    <row r="557" spans="11:11" ht="13.2">
      <c r="K557" s="1"/>
    </row>
    <row r="558" spans="11:11" ht="13.2">
      <c r="K558" s="1"/>
    </row>
    <row r="559" spans="11:11" ht="13.2">
      <c r="K559" s="1"/>
    </row>
    <row r="560" spans="11:11" ht="13.2">
      <c r="K560" s="1"/>
    </row>
    <row r="561" spans="11:11" ht="13.2">
      <c r="K561" s="1"/>
    </row>
    <row r="562" spans="11:11" ht="13.2">
      <c r="K562" s="1"/>
    </row>
    <row r="563" spans="11:11" ht="13.2">
      <c r="K563" s="1"/>
    </row>
    <row r="564" spans="11:11" ht="13.2">
      <c r="K564" s="1"/>
    </row>
    <row r="565" spans="11:11" ht="13.2">
      <c r="K565" s="1"/>
    </row>
    <row r="566" spans="11:11" ht="13.2">
      <c r="K566" s="1"/>
    </row>
    <row r="567" spans="11:11" ht="13.2">
      <c r="K567" s="1"/>
    </row>
    <row r="568" spans="11:11" ht="13.2">
      <c r="K568" s="1"/>
    </row>
    <row r="569" spans="11:11" ht="13.2">
      <c r="K569" s="1"/>
    </row>
    <row r="570" spans="11:11" ht="13.2">
      <c r="K570" s="1"/>
    </row>
    <row r="571" spans="11:11" ht="13.2">
      <c r="K571" s="1"/>
    </row>
    <row r="572" spans="11:11" ht="13.2">
      <c r="K572" s="1"/>
    </row>
    <row r="573" spans="11:11" ht="13.2">
      <c r="K573" s="1"/>
    </row>
    <row r="574" spans="11:11" ht="13.2">
      <c r="K574" s="1"/>
    </row>
    <row r="575" spans="11:11" ht="13.2">
      <c r="K575" s="1"/>
    </row>
    <row r="576" spans="11:11" ht="13.2">
      <c r="K576" s="1"/>
    </row>
    <row r="577" spans="11:11" ht="13.2">
      <c r="K577" s="1"/>
    </row>
    <row r="578" spans="11:11" ht="13.2">
      <c r="K578" s="1"/>
    </row>
    <row r="579" spans="11:11" ht="13.2">
      <c r="K579" s="1"/>
    </row>
    <row r="580" spans="11:11" ht="13.2">
      <c r="K580" s="1"/>
    </row>
    <row r="581" spans="11:11" ht="13.2">
      <c r="K581" s="1"/>
    </row>
    <row r="582" spans="11:11" ht="13.2">
      <c r="K582" s="1"/>
    </row>
    <row r="583" spans="11:11" ht="13.2">
      <c r="K583" s="1"/>
    </row>
    <row r="584" spans="11:11" ht="13.2">
      <c r="K584" s="1"/>
    </row>
    <row r="585" spans="11:11" ht="13.2">
      <c r="K585" s="1"/>
    </row>
    <row r="586" spans="11:11" ht="13.2">
      <c r="K586" s="1"/>
    </row>
    <row r="587" spans="11:11" ht="13.2">
      <c r="K587" s="1"/>
    </row>
    <row r="588" spans="11:11" ht="13.2">
      <c r="K588" s="1"/>
    </row>
    <row r="589" spans="11:11" ht="13.2">
      <c r="K589" s="1"/>
    </row>
    <row r="590" spans="11:11" ht="13.2">
      <c r="K590" s="1"/>
    </row>
    <row r="591" spans="11:11" ht="13.2">
      <c r="K591" s="1"/>
    </row>
    <row r="592" spans="11:11" ht="13.2">
      <c r="K592" s="1"/>
    </row>
    <row r="593" spans="11:11" ht="13.2">
      <c r="K593" s="1"/>
    </row>
    <row r="594" spans="11:11" ht="13.2">
      <c r="K594" s="1"/>
    </row>
    <row r="595" spans="11:11" ht="13.2">
      <c r="K595" s="1"/>
    </row>
    <row r="596" spans="11:11" ht="13.2">
      <c r="K596" s="1"/>
    </row>
    <row r="597" spans="11:11" ht="13.2">
      <c r="K597" s="1"/>
    </row>
    <row r="598" spans="11:11" ht="13.2">
      <c r="K598" s="1"/>
    </row>
    <row r="599" spans="11:11" ht="13.2">
      <c r="K599" s="1"/>
    </row>
    <row r="600" spans="11:11" ht="13.2">
      <c r="K600" s="1"/>
    </row>
    <row r="601" spans="11:11" ht="13.2">
      <c r="K601" s="1"/>
    </row>
    <row r="602" spans="11:11" ht="13.2">
      <c r="K602" s="1"/>
    </row>
    <row r="603" spans="11:11" ht="13.2">
      <c r="K603" s="1"/>
    </row>
    <row r="604" spans="11:11" ht="13.2">
      <c r="K604" s="1"/>
    </row>
    <row r="605" spans="11:11" ht="13.2">
      <c r="K605" s="1"/>
    </row>
    <row r="606" spans="11:11" ht="13.2">
      <c r="K606" s="1"/>
    </row>
    <row r="607" spans="11:11" ht="13.2">
      <c r="K607" s="1"/>
    </row>
    <row r="608" spans="11:11" ht="13.2">
      <c r="K608" s="1"/>
    </row>
    <row r="609" spans="11:11" ht="13.2">
      <c r="K609" s="1"/>
    </row>
    <row r="610" spans="11:11" ht="13.2">
      <c r="K610" s="1"/>
    </row>
    <row r="611" spans="11:11" ht="13.2">
      <c r="K611" s="1"/>
    </row>
    <row r="612" spans="11:11" ht="13.2">
      <c r="K612" s="1"/>
    </row>
    <row r="613" spans="11:11" ht="13.2">
      <c r="K613" s="1"/>
    </row>
    <row r="614" spans="11:11" ht="13.2">
      <c r="K614" s="1"/>
    </row>
    <row r="615" spans="11:11" ht="13.2">
      <c r="K615" s="1"/>
    </row>
    <row r="616" spans="11:11" ht="13.2">
      <c r="K616" s="1"/>
    </row>
    <row r="617" spans="11:11" ht="13.2">
      <c r="K617" s="1"/>
    </row>
    <row r="618" spans="11:11" ht="13.2">
      <c r="K618" s="1"/>
    </row>
    <row r="619" spans="11:11" ht="13.2">
      <c r="K619" s="1"/>
    </row>
    <row r="620" spans="11:11" ht="13.2">
      <c r="K620" s="1"/>
    </row>
    <row r="621" spans="11:11" ht="13.2">
      <c r="K621" s="1"/>
    </row>
    <row r="622" spans="11:11" ht="13.2">
      <c r="K622" s="1"/>
    </row>
    <row r="623" spans="11:11" ht="13.2">
      <c r="K623" s="1"/>
    </row>
    <row r="624" spans="11:11" ht="13.2">
      <c r="K624" s="1"/>
    </row>
    <row r="625" spans="11:11" ht="13.2">
      <c r="K625" s="1"/>
    </row>
    <row r="626" spans="11:11" ht="13.2">
      <c r="K626" s="1"/>
    </row>
    <row r="627" spans="11:11" ht="13.2">
      <c r="K627" s="1"/>
    </row>
    <row r="628" spans="11:11" ht="13.2">
      <c r="K628" s="1"/>
    </row>
    <row r="629" spans="11:11" ht="13.2">
      <c r="K629" s="1"/>
    </row>
    <row r="630" spans="11:11" ht="13.2">
      <c r="K630" s="1"/>
    </row>
    <row r="631" spans="11:11" ht="13.2">
      <c r="K631" s="1"/>
    </row>
    <row r="632" spans="11:11" ht="13.2">
      <c r="K632" s="1"/>
    </row>
    <row r="633" spans="11:11" ht="13.2">
      <c r="K633" s="1"/>
    </row>
    <row r="634" spans="11:11" ht="13.2">
      <c r="K634" s="1"/>
    </row>
    <row r="635" spans="11:11" ht="13.2">
      <c r="K635" s="1"/>
    </row>
    <row r="636" spans="11:11" ht="13.2">
      <c r="K636" s="1"/>
    </row>
    <row r="637" spans="11:11" ht="13.2">
      <c r="K637" s="1"/>
    </row>
    <row r="638" spans="11:11" ht="13.2">
      <c r="K638" s="1"/>
    </row>
    <row r="639" spans="11:11" ht="13.2">
      <c r="K639" s="1"/>
    </row>
    <row r="640" spans="11:11" ht="13.2">
      <c r="K640" s="1"/>
    </row>
    <row r="641" spans="11:11" ht="13.2">
      <c r="K641" s="1"/>
    </row>
    <row r="642" spans="11:11" ht="13.2">
      <c r="K642" s="1"/>
    </row>
    <row r="643" spans="11:11" ht="13.2">
      <c r="K643" s="1"/>
    </row>
    <row r="644" spans="11:11" ht="13.2">
      <c r="K644" s="1"/>
    </row>
    <row r="645" spans="11:11" ht="13.2">
      <c r="K645" s="1"/>
    </row>
    <row r="646" spans="11:11" ht="13.2">
      <c r="K646" s="1"/>
    </row>
    <row r="647" spans="11:11" ht="13.2">
      <c r="K647" s="1"/>
    </row>
    <row r="648" spans="11:11" ht="13.2">
      <c r="K648" s="1"/>
    </row>
    <row r="649" spans="11:11" ht="13.2">
      <c r="K649" s="1"/>
    </row>
    <row r="650" spans="11:11" ht="13.2">
      <c r="K650" s="1"/>
    </row>
    <row r="651" spans="11:11" ht="13.2">
      <c r="K651" s="1"/>
    </row>
    <row r="652" spans="11:11" ht="13.2">
      <c r="K652" s="1"/>
    </row>
    <row r="653" spans="11:11" ht="13.2">
      <c r="K653" s="1"/>
    </row>
    <row r="654" spans="11:11" ht="13.2">
      <c r="K654" s="1"/>
    </row>
    <row r="655" spans="11:11" ht="13.2">
      <c r="K655" s="1"/>
    </row>
    <row r="656" spans="11:11" ht="13.2">
      <c r="K656" s="1"/>
    </row>
    <row r="657" spans="11:11" ht="13.2">
      <c r="K657" s="1"/>
    </row>
    <row r="658" spans="11:11" ht="13.2">
      <c r="K658" s="1"/>
    </row>
    <row r="659" spans="11:11" ht="13.2">
      <c r="K659" s="1"/>
    </row>
    <row r="660" spans="11:11" ht="13.2">
      <c r="K660" s="1"/>
    </row>
    <row r="661" spans="11:11" ht="13.2">
      <c r="K661" s="1"/>
    </row>
    <row r="662" spans="11:11" ht="13.2">
      <c r="K662" s="1"/>
    </row>
    <row r="663" spans="11:11" ht="13.2">
      <c r="K663" s="1"/>
    </row>
    <row r="664" spans="11:11" ht="13.2">
      <c r="K664" s="1"/>
    </row>
    <row r="665" spans="11:11" ht="13.2">
      <c r="K665" s="1"/>
    </row>
    <row r="666" spans="11:11" ht="13.2">
      <c r="K666" s="1"/>
    </row>
    <row r="667" spans="11:11" ht="13.2">
      <c r="K667" s="1"/>
    </row>
    <row r="668" spans="11:11" ht="13.2">
      <c r="K668" s="1"/>
    </row>
    <row r="669" spans="11:11" ht="13.2">
      <c r="K669" s="1"/>
    </row>
    <row r="670" spans="11:11" ht="13.2">
      <c r="K670" s="1"/>
    </row>
    <row r="671" spans="11:11" ht="13.2">
      <c r="K671" s="1"/>
    </row>
    <row r="672" spans="11:11" ht="13.2">
      <c r="K672" s="1"/>
    </row>
    <row r="673" spans="11:11" ht="13.2">
      <c r="K673" s="1"/>
    </row>
    <row r="674" spans="11:11" ht="13.2">
      <c r="K674" s="1"/>
    </row>
    <row r="675" spans="11:11" ht="13.2">
      <c r="K675" s="1"/>
    </row>
    <row r="676" spans="11:11" ht="13.2">
      <c r="K676" s="1"/>
    </row>
    <row r="677" spans="11:11" ht="13.2">
      <c r="K677" s="1"/>
    </row>
    <row r="678" spans="11:11" ht="13.2">
      <c r="K678" s="1"/>
    </row>
    <row r="679" spans="11:11" ht="13.2">
      <c r="K679" s="1"/>
    </row>
    <row r="680" spans="11:11" ht="13.2">
      <c r="K680" s="1"/>
    </row>
    <row r="681" spans="11:11" ht="13.2">
      <c r="K681" s="1"/>
    </row>
    <row r="682" spans="11:11" ht="13.2">
      <c r="K682" s="1"/>
    </row>
    <row r="683" spans="11:11" ht="13.2">
      <c r="K683" s="1"/>
    </row>
    <row r="684" spans="11:11" ht="13.2">
      <c r="K684" s="1"/>
    </row>
    <row r="685" spans="11:11" ht="13.2">
      <c r="K685" s="1"/>
    </row>
    <row r="686" spans="11:11" ht="13.2">
      <c r="K686" s="1"/>
    </row>
    <row r="687" spans="11:11" ht="13.2">
      <c r="K687" s="1"/>
    </row>
    <row r="688" spans="11:11" ht="13.2">
      <c r="K688" s="1"/>
    </row>
    <row r="689" spans="11:11" ht="13.2">
      <c r="K689" s="1"/>
    </row>
    <row r="690" spans="11:11" ht="13.2">
      <c r="K690" s="1"/>
    </row>
    <row r="691" spans="11:11" ht="13.2">
      <c r="K691" s="1"/>
    </row>
    <row r="692" spans="11:11" ht="13.2">
      <c r="K692" s="1"/>
    </row>
    <row r="693" spans="11:11" ht="13.2">
      <c r="K693" s="1"/>
    </row>
    <row r="694" spans="11:11" ht="13.2">
      <c r="K694" s="1"/>
    </row>
    <row r="695" spans="11:11" ht="13.2">
      <c r="K695" s="1"/>
    </row>
    <row r="696" spans="11:11" ht="13.2">
      <c r="K696" s="1"/>
    </row>
    <row r="697" spans="11:11" ht="13.2">
      <c r="K697" s="1"/>
    </row>
    <row r="698" spans="11:11" ht="13.2">
      <c r="K698" s="1"/>
    </row>
    <row r="699" spans="11:11" ht="13.2">
      <c r="K699" s="1"/>
    </row>
    <row r="700" spans="11:11" ht="13.2">
      <c r="K700" s="1"/>
    </row>
    <row r="701" spans="11:11" ht="13.2">
      <c r="K701" s="1"/>
    </row>
    <row r="702" spans="11:11" ht="13.2">
      <c r="K702" s="1"/>
    </row>
    <row r="703" spans="11:11" ht="13.2">
      <c r="K703" s="1"/>
    </row>
    <row r="704" spans="11:11" ht="13.2">
      <c r="K704" s="1"/>
    </row>
    <row r="705" spans="11:11" ht="13.2">
      <c r="K705" s="1"/>
    </row>
    <row r="706" spans="11:11" ht="13.2">
      <c r="K706" s="1"/>
    </row>
    <row r="707" spans="11:11" ht="13.2">
      <c r="K707" s="1"/>
    </row>
    <row r="708" spans="11:11" ht="13.2">
      <c r="K708" s="1"/>
    </row>
    <row r="709" spans="11:11" ht="13.2">
      <c r="K709" s="1"/>
    </row>
    <row r="710" spans="11:11" ht="13.2">
      <c r="K710" s="1"/>
    </row>
    <row r="711" spans="11:11" ht="13.2">
      <c r="K711" s="1"/>
    </row>
    <row r="712" spans="11:11" ht="13.2">
      <c r="K712" s="1"/>
    </row>
    <row r="713" spans="11:11" ht="13.2">
      <c r="K713" s="1"/>
    </row>
    <row r="714" spans="11:11" ht="13.2">
      <c r="K714" s="1"/>
    </row>
    <row r="715" spans="11:11" ht="13.2">
      <c r="K715" s="1"/>
    </row>
    <row r="716" spans="11:11" ht="13.2">
      <c r="K716" s="1"/>
    </row>
    <row r="717" spans="11:11" ht="13.2">
      <c r="K717" s="1"/>
    </row>
    <row r="718" spans="11:11" ht="13.2">
      <c r="K718" s="1"/>
    </row>
    <row r="719" spans="11:11" ht="13.2">
      <c r="K719" s="1"/>
    </row>
    <row r="720" spans="11:11" ht="13.2">
      <c r="K720" s="1"/>
    </row>
    <row r="721" spans="11:11" ht="13.2">
      <c r="K721" s="1"/>
    </row>
    <row r="722" spans="11:11" ht="13.2">
      <c r="K722" s="1"/>
    </row>
    <row r="723" spans="11:11" ht="13.2">
      <c r="K723" s="1"/>
    </row>
    <row r="724" spans="11:11" ht="13.2">
      <c r="K724" s="1"/>
    </row>
    <row r="725" spans="11:11" ht="13.2">
      <c r="K725" s="1"/>
    </row>
    <row r="726" spans="11:11" ht="13.2">
      <c r="K726" s="1"/>
    </row>
    <row r="727" spans="11:11" ht="13.2">
      <c r="K727" s="1"/>
    </row>
    <row r="728" spans="11:11" ht="13.2">
      <c r="K728" s="1"/>
    </row>
    <row r="729" spans="11:11" ht="13.2">
      <c r="K729" s="1"/>
    </row>
    <row r="730" spans="11:11" ht="13.2">
      <c r="K730" s="1"/>
    </row>
    <row r="731" spans="11:11" ht="13.2">
      <c r="K731" s="1"/>
    </row>
    <row r="732" spans="11:11" ht="13.2">
      <c r="K732" s="1"/>
    </row>
    <row r="733" spans="11:11" ht="13.2">
      <c r="K733" s="1"/>
    </row>
    <row r="734" spans="11:11" ht="13.2">
      <c r="K734" s="1"/>
    </row>
    <row r="735" spans="11:11" ht="13.2">
      <c r="K735" s="1"/>
    </row>
    <row r="736" spans="11:11" ht="13.2">
      <c r="K736" s="1"/>
    </row>
    <row r="737" spans="11:11" ht="13.2">
      <c r="K737" s="1"/>
    </row>
    <row r="738" spans="11:11" ht="13.2">
      <c r="K738" s="1"/>
    </row>
    <row r="739" spans="11:11" ht="13.2">
      <c r="K739" s="1"/>
    </row>
    <row r="740" spans="11:11" ht="13.2">
      <c r="K740" s="1"/>
    </row>
    <row r="741" spans="11:11" ht="13.2">
      <c r="K741" s="1"/>
    </row>
    <row r="742" spans="11:11" ht="13.2">
      <c r="K742" s="1"/>
    </row>
    <row r="743" spans="11:11" ht="13.2">
      <c r="K743" s="1"/>
    </row>
    <row r="744" spans="11:11" ht="13.2">
      <c r="K744" s="1"/>
    </row>
    <row r="745" spans="11:11" ht="13.2">
      <c r="K745" s="1"/>
    </row>
    <row r="746" spans="11:11" ht="13.2">
      <c r="K746" s="1"/>
    </row>
    <row r="747" spans="11:11" ht="13.2">
      <c r="K747" s="1"/>
    </row>
    <row r="748" spans="11:11" ht="13.2">
      <c r="K748" s="1"/>
    </row>
    <row r="749" spans="11:11" ht="13.2">
      <c r="K749" s="1"/>
    </row>
    <row r="750" spans="11:11" ht="13.2">
      <c r="K750" s="1"/>
    </row>
    <row r="751" spans="11:11" ht="13.2">
      <c r="K751" s="1"/>
    </row>
    <row r="752" spans="11:11" ht="13.2">
      <c r="K752" s="1"/>
    </row>
    <row r="753" spans="11:11" ht="13.2">
      <c r="K753" s="1"/>
    </row>
    <row r="754" spans="11:11" ht="13.2">
      <c r="K754" s="1"/>
    </row>
    <row r="755" spans="11:11" ht="13.2">
      <c r="K755" s="1"/>
    </row>
    <row r="756" spans="11:11" ht="13.2">
      <c r="K756" s="1"/>
    </row>
    <row r="757" spans="11:11" ht="13.2">
      <c r="K757" s="1"/>
    </row>
    <row r="758" spans="11:11" ht="13.2">
      <c r="K758" s="1"/>
    </row>
    <row r="759" spans="11:11" ht="13.2">
      <c r="K759" s="1"/>
    </row>
    <row r="760" spans="11:11" ht="13.2">
      <c r="K760" s="1"/>
    </row>
    <row r="761" spans="11:11" ht="13.2">
      <c r="K761" s="1"/>
    </row>
    <row r="762" spans="11:11" ht="13.2">
      <c r="K762" s="1"/>
    </row>
    <row r="763" spans="11:11" ht="13.2">
      <c r="K763" s="1"/>
    </row>
    <row r="764" spans="11:11" ht="13.2">
      <c r="K764" s="1"/>
    </row>
    <row r="765" spans="11:11" ht="13.2">
      <c r="K765" s="1"/>
    </row>
    <row r="766" spans="11:11" ht="13.2">
      <c r="K766" s="1"/>
    </row>
    <row r="767" spans="11:11" ht="13.2">
      <c r="K767" s="1"/>
    </row>
    <row r="768" spans="11:11" ht="13.2">
      <c r="K768" s="1"/>
    </row>
    <row r="769" spans="11:11" ht="13.2">
      <c r="K769" s="1"/>
    </row>
    <row r="770" spans="11:11" ht="13.2">
      <c r="K770" s="1"/>
    </row>
    <row r="771" spans="11:11" ht="13.2">
      <c r="K771" s="1"/>
    </row>
    <row r="772" spans="11:11" ht="13.2">
      <c r="K772" s="1"/>
    </row>
    <row r="773" spans="11:11" ht="13.2">
      <c r="K773" s="1"/>
    </row>
    <row r="774" spans="11:11" ht="13.2">
      <c r="K774" s="1"/>
    </row>
    <row r="775" spans="11:11" ht="13.2">
      <c r="K775" s="1"/>
    </row>
    <row r="776" spans="11:11" ht="13.2">
      <c r="K776" s="1"/>
    </row>
    <row r="777" spans="11:11" ht="13.2">
      <c r="K777" s="1"/>
    </row>
    <row r="778" spans="11:11" ht="13.2">
      <c r="K778" s="1"/>
    </row>
    <row r="779" spans="11:11" ht="13.2">
      <c r="K779" s="1"/>
    </row>
    <row r="780" spans="11:11" ht="13.2">
      <c r="K780" s="1"/>
    </row>
    <row r="781" spans="11:11" ht="13.2">
      <c r="K781" s="1"/>
    </row>
    <row r="782" spans="11:11" ht="13.2">
      <c r="K782" s="1"/>
    </row>
    <row r="783" spans="11:11" ht="13.2">
      <c r="K783" s="1"/>
    </row>
    <row r="784" spans="11:11" ht="13.2">
      <c r="K784" s="1"/>
    </row>
    <row r="785" spans="11:11" ht="13.2">
      <c r="K785" s="1"/>
    </row>
    <row r="786" spans="11:11" ht="13.2">
      <c r="K786" s="1"/>
    </row>
    <row r="787" spans="11:11" ht="13.2">
      <c r="K787" s="1"/>
    </row>
    <row r="788" spans="11:11" ht="13.2">
      <c r="K788" s="1"/>
    </row>
    <row r="789" spans="11:11" ht="13.2">
      <c r="K789" s="1"/>
    </row>
    <row r="790" spans="11:11" ht="13.2">
      <c r="K790" s="1"/>
    </row>
    <row r="791" spans="11:11" ht="13.2">
      <c r="K791" s="1"/>
    </row>
    <row r="792" spans="11:11" ht="13.2">
      <c r="K792" s="1"/>
    </row>
    <row r="793" spans="11:11" ht="13.2">
      <c r="K793" s="1"/>
    </row>
    <row r="794" spans="11:11" ht="13.2">
      <c r="K794" s="1"/>
    </row>
    <row r="795" spans="11:11" ht="13.2">
      <c r="K795" s="1"/>
    </row>
    <row r="796" spans="11:11" ht="13.2">
      <c r="K796" s="1"/>
    </row>
    <row r="797" spans="11:11" ht="13.2">
      <c r="K797" s="1"/>
    </row>
    <row r="798" spans="11:11" ht="13.2">
      <c r="K798" s="1"/>
    </row>
    <row r="799" spans="11:11" ht="13.2">
      <c r="K799" s="1"/>
    </row>
    <row r="800" spans="11:11" ht="13.2">
      <c r="K800" s="1"/>
    </row>
    <row r="801" spans="11:11" ht="13.2">
      <c r="K801" s="1"/>
    </row>
    <row r="802" spans="11:11" ht="13.2">
      <c r="K802" s="1"/>
    </row>
    <row r="803" spans="11:11" ht="13.2">
      <c r="K803" s="1"/>
    </row>
    <row r="804" spans="11:11" ht="13.2">
      <c r="K804" s="1"/>
    </row>
    <row r="805" spans="11:11" ht="13.2">
      <c r="K805" s="1"/>
    </row>
    <row r="806" spans="11:11" ht="13.2">
      <c r="K806" s="1"/>
    </row>
    <row r="807" spans="11:11" ht="13.2">
      <c r="K807" s="1"/>
    </row>
    <row r="808" spans="11:11" ht="13.2">
      <c r="K808" s="1"/>
    </row>
    <row r="809" spans="11:11" ht="13.2">
      <c r="K809" s="1"/>
    </row>
    <row r="810" spans="11:11" ht="13.2">
      <c r="K810" s="1"/>
    </row>
    <row r="811" spans="11:11" ht="13.2">
      <c r="K811" s="1"/>
    </row>
    <row r="812" spans="11:11" ht="13.2">
      <c r="K812" s="1"/>
    </row>
    <row r="813" spans="11:11" ht="13.2">
      <c r="K813" s="1"/>
    </row>
    <row r="814" spans="11:11" ht="13.2">
      <c r="K814" s="1"/>
    </row>
    <row r="815" spans="11:11" ht="13.2">
      <c r="K815" s="1"/>
    </row>
    <row r="816" spans="11:11" ht="13.2">
      <c r="K816" s="1"/>
    </row>
    <row r="817" spans="11:11" ht="13.2">
      <c r="K817" s="1"/>
    </row>
    <row r="818" spans="11:11" ht="13.2">
      <c r="K818" s="1"/>
    </row>
    <row r="819" spans="11:11" ht="13.2">
      <c r="K819" s="1"/>
    </row>
    <row r="820" spans="11:11" ht="13.2">
      <c r="K820" s="1"/>
    </row>
    <row r="821" spans="11:11" ht="13.2">
      <c r="K821" s="1"/>
    </row>
    <row r="822" spans="11:11" ht="13.2">
      <c r="K822" s="1"/>
    </row>
    <row r="823" spans="11:11" ht="13.2">
      <c r="K823" s="1"/>
    </row>
    <row r="824" spans="11:11" ht="13.2">
      <c r="K824" s="1"/>
    </row>
    <row r="825" spans="11:11" ht="13.2">
      <c r="K825" s="1"/>
    </row>
    <row r="826" spans="11:11" ht="13.2">
      <c r="K826" s="1"/>
    </row>
    <row r="827" spans="11:11" ht="13.2">
      <c r="K827" s="1"/>
    </row>
    <row r="828" spans="11:11" ht="13.2">
      <c r="K828" s="1"/>
    </row>
    <row r="829" spans="11:11" ht="13.2">
      <c r="K829" s="1"/>
    </row>
    <row r="830" spans="11:11" ht="13.2">
      <c r="K830" s="1"/>
    </row>
    <row r="831" spans="11:11" ht="13.2">
      <c r="K831" s="1"/>
    </row>
    <row r="832" spans="11:11" ht="13.2">
      <c r="K832" s="1"/>
    </row>
    <row r="833" spans="11:11" ht="13.2">
      <c r="K833" s="1"/>
    </row>
    <row r="834" spans="11:11" ht="13.2">
      <c r="K834" s="1"/>
    </row>
    <row r="835" spans="11:11" ht="13.2">
      <c r="K835" s="1"/>
    </row>
    <row r="836" spans="11:11" ht="13.2">
      <c r="K836" s="1"/>
    </row>
    <row r="837" spans="11:11" ht="13.2">
      <c r="K837" s="1"/>
    </row>
    <row r="838" spans="11:11" ht="13.2">
      <c r="K838" s="1"/>
    </row>
    <row r="839" spans="11:11" ht="13.2">
      <c r="K839" s="1"/>
    </row>
    <row r="840" spans="11:11" ht="13.2">
      <c r="K840" s="1"/>
    </row>
    <row r="841" spans="11:11" ht="13.2">
      <c r="K841" s="1"/>
    </row>
    <row r="842" spans="11:11" ht="13.2">
      <c r="K842" s="1"/>
    </row>
    <row r="843" spans="11:11" ht="13.2">
      <c r="K843" s="1"/>
    </row>
    <row r="844" spans="11:11" ht="13.2">
      <c r="K844" s="1"/>
    </row>
    <row r="845" spans="11:11" ht="13.2">
      <c r="K845" s="1"/>
    </row>
    <row r="846" spans="11:11" ht="13.2">
      <c r="K846" s="1"/>
    </row>
    <row r="847" spans="11:11" ht="13.2">
      <c r="K847" s="1"/>
    </row>
    <row r="848" spans="11:11" ht="13.2">
      <c r="K848" s="1"/>
    </row>
    <row r="849" spans="11:11" ht="13.2">
      <c r="K849" s="1"/>
    </row>
    <row r="850" spans="11:11" ht="13.2">
      <c r="K850" s="1"/>
    </row>
    <row r="851" spans="11:11" ht="13.2">
      <c r="K851" s="1"/>
    </row>
    <row r="852" spans="11:11" ht="13.2">
      <c r="K852" s="1"/>
    </row>
    <row r="853" spans="11:11" ht="13.2">
      <c r="K853" s="1"/>
    </row>
    <row r="854" spans="11:11" ht="13.2">
      <c r="K854" s="1"/>
    </row>
    <row r="855" spans="11:11" ht="13.2">
      <c r="K855" s="1"/>
    </row>
    <row r="856" spans="11:11" ht="13.2">
      <c r="K856" s="1"/>
    </row>
    <row r="857" spans="11:11" ht="13.2">
      <c r="K857" s="1"/>
    </row>
    <row r="858" spans="11:11" ht="13.2">
      <c r="K858" s="1"/>
    </row>
    <row r="859" spans="11:11" ht="13.2">
      <c r="K859" s="1"/>
    </row>
    <row r="860" spans="11:11" ht="13.2">
      <c r="K860" s="1"/>
    </row>
    <row r="861" spans="11:11" ht="13.2">
      <c r="K861" s="1"/>
    </row>
    <row r="862" spans="11:11" ht="13.2">
      <c r="K862" s="1"/>
    </row>
    <row r="863" spans="11:11" ht="13.2">
      <c r="K863" s="1"/>
    </row>
    <row r="864" spans="11:11" ht="13.2">
      <c r="K864" s="1"/>
    </row>
    <row r="865" spans="11:11" ht="13.2">
      <c r="K865" s="1"/>
    </row>
    <row r="866" spans="11:11" ht="13.2">
      <c r="K866" s="1"/>
    </row>
    <row r="867" spans="11:11" ht="13.2">
      <c r="K867" s="1"/>
    </row>
    <row r="868" spans="11:11" ht="13.2">
      <c r="K868" s="1"/>
    </row>
    <row r="869" spans="11:11" ht="13.2">
      <c r="K869" s="1"/>
    </row>
    <row r="870" spans="11:11" ht="13.2">
      <c r="K870" s="1"/>
    </row>
    <row r="871" spans="11:11" ht="13.2">
      <c r="K871" s="1"/>
    </row>
    <row r="872" spans="11:11" ht="13.2">
      <c r="K872" s="1"/>
    </row>
    <row r="873" spans="11:11" ht="13.2">
      <c r="K873" s="1"/>
    </row>
    <row r="874" spans="11:11" ht="13.2">
      <c r="K874" s="1"/>
    </row>
    <row r="875" spans="11:11" ht="13.2">
      <c r="K875" s="1"/>
    </row>
    <row r="876" spans="11:11" ht="13.2">
      <c r="K876" s="1"/>
    </row>
    <row r="877" spans="11:11" ht="13.2">
      <c r="K877" s="1"/>
    </row>
    <row r="878" spans="11:11" ht="13.2">
      <c r="K878" s="1"/>
    </row>
    <row r="879" spans="11:11" ht="13.2">
      <c r="K879" s="1"/>
    </row>
    <row r="880" spans="11:11" ht="13.2">
      <c r="K880" s="1"/>
    </row>
    <row r="881" spans="11:11" ht="13.2">
      <c r="K881" s="1"/>
    </row>
    <row r="882" spans="11:11" ht="13.2">
      <c r="K882" s="1"/>
    </row>
    <row r="883" spans="11:11" ht="13.2">
      <c r="K883" s="1"/>
    </row>
    <row r="884" spans="11:11" ht="13.2">
      <c r="K884" s="1"/>
    </row>
    <row r="885" spans="11:11" ht="13.2">
      <c r="K885" s="1"/>
    </row>
    <row r="886" spans="11:11" ht="13.2">
      <c r="K886" s="1"/>
    </row>
    <row r="887" spans="11:11" ht="13.2">
      <c r="K887" s="1"/>
    </row>
    <row r="888" spans="11:11" ht="13.2">
      <c r="K888" s="1"/>
    </row>
    <row r="889" spans="11:11" ht="13.2">
      <c r="K889" s="1"/>
    </row>
    <row r="890" spans="11:11" ht="13.2">
      <c r="K890" s="1"/>
    </row>
    <row r="891" spans="11:11" ht="13.2">
      <c r="K891" s="1"/>
    </row>
    <row r="892" spans="11:11" ht="13.2">
      <c r="K892" s="1"/>
    </row>
    <row r="893" spans="11:11" ht="13.2">
      <c r="K893" s="1"/>
    </row>
    <row r="894" spans="11:11" ht="13.2">
      <c r="K894" s="1"/>
    </row>
    <row r="895" spans="11:11" ht="13.2">
      <c r="K895" s="1"/>
    </row>
    <row r="896" spans="11:11" ht="13.2">
      <c r="K896" s="1"/>
    </row>
    <row r="897" spans="11:11" ht="13.2">
      <c r="K897" s="1"/>
    </row>
    <row r="898" spans="11:11" ht="13.2">
      <c r="K898" s="1"/>
    </row>
    <row r="899" spans="11:11" ht="13.2">
      <c r="K899" s="1"/>
    </row>
    <row r="900" spans="11:11" ht="13.2">
      <c r="K900" s="1"/>
    </row>
    <row r="901" spans="11:11" ht="13.2">
      <c r="K901" s="1"/>
    </row>
    <row r="902" spans="11:11" ht="13.2">
      <c r="K902" s="1"/>
    </row>
    <row r="903" spans="11:11" ht="13.2">
      <c r="K903" s="1"/>
    </row>
    <row r="904" spans="11:11" ht="13.2">
      <c r="K904" s="1"/>
    </row>
    <row r="905" spans="11:11" ht="13.2">
      <c r="K905" s="1"/>
    </row>
    <row r="906" spans="11:11" ht="13.2">
      <c r="K906" s="1"/>
    </row>
    <row r="907" spans="11:11" ht="13.2">
      <c r="K907" s="1"/>
    </row>
    <row r="908" spans="11:11" ht="13.2">
      <c r="K908" s="1"/>
    </row>
    <row r="909" spans="11:11" ht="13.2">
      <c r="K909" s="1"/>
    </row>
    <row r="910" spans="11:11" ht="13.2">
      <c r="K910" s="1"/>
    </row>
    <row r="911" spans="11:11" ht="13.2">
      <c r="K911" s="1"/>
    </row>
    <row r="912" spans="11:11" ht="13.2">
      <c r="K912" s="1"/>
    </row>
    <row r="913" spans="11:11" ht="13.2">
      <c r="K913" s="1"/>
    </row>
    <row r="914" spans="11:11" ht="13.2">
      <c r="K914" s="1"/>
    </row>
    <row r="915" spans="11:11" ht="13.2">
      <c r="K915" s="1"/>
    </row>
    <row r="916" spans="11:11" ht="13.2">
      <c r="K916" s="1"/>
    </row>
    <row r="917" spans="11:11" ht="13.2">
      <c r="K917" s="1"/>
    </row>
    <row r="918" spans="11:11" ht="13.2">
      <c r="K918" s="1"/>
    </row>
    <row r="919" spans="11:11" ht="13.2">
      <c r="K919" s="1"/>
    </row>
    <row r="920" spans="11:11" ht="13.2">
      <c r="K920" s="1"/>
    </row>
    <row r="921" spans="11:11" ht="13.2">
      <c r="K921" s="1"/>
    </row>
    <row r="922" spans="11:11" ht="13.2">
      <c r="K922" s="1"/>
    </row>
    <row r="923" spans="11:11" ht="13.2">
      <c r="K923" s="1"/>
    </row>
    <row r="924" spans="11:11" ht="13.2">
      <c r="K924" s="1"/>
    </row>
    <row r="925" spans="11:11" ht="13.2">
      <c r="K925" s="1"/>
    </row>
    <row r="926" spans="11:11" ht="13.2">
      <c r="K926" s="1"/>
    </row>
    <row r="927" spans="11:11" ht="13.2">
      <c r="K927" s="1"/>
    </row>
    <row r="928" spans="11:11" ht="13.2">
      <c r="K928" s="1"/>
    </row>
    <row r="929" spans="11:11" ht="13.2">
      <c r="K929" s="1"/>
    </row>
    <row r="930" spans="11:11" ht="13.2">
      <c r="K930" s="1"/>
    </row>
    <row r="931" spans="11:11" ht="13.2">
      <c r="K931" s="1"/>
    </row>
    <row r="932" spans="11:11" ht="13.2">
      <c r="K932" s="1"/>
    </row>
    <row r="933" spans="11:11" ht="13.2">
      <c r="K933" s="1"/>
    </row>
    <row r="934" spans="11:11" ht="13.2">
      <c r="K934" s="1"/>
    </row>
    <row r="935" spans="11:11" ht="13.2">
      <c r="K935" s="1"/>
    </row>
    <row r="936" spans="11:11" ht="13.2">
      <c r="K936" s="1"/>
    </row>
    <row r="937" spans="11:11" ht="13.2">
      <c r="K937" s="1"/>
    </row>
    <row r="938" spans="11:11" ht="13.2">
      <c r="K938" s="1"/>
    </row>
    <row r="939" spans="11:11" ht="13.2">
      <c r="K939" s="1"/>
    </row>
    <row r="940" spans="11:11" ht="13.2">
      <c r="K940" s="1"/>
    </row>
    <row r="941" spans="11:11" ht="13.2">
      <c r="K941" s="1"/>
    </row>
    <row r="942" spans="11:11" ht="13.2">
      <c r="K942" s="1"/>
    </row>
    <row r="943" spans="11:11" ht="13.2">
      <c r="K943" s="1"/>
    </row>
    <row r="944" spans="11:11" ht="13.2">
      <c r="K944" s="1"/>
    </row>
    <row r="945" spans="11:11" ht="13.2">
      <c r="K945" s="1"/>
    </row>
    <row r="946" spans="11:11" ht="13.2">
      <c r="K946" s="1"/>
    </row>
    <row r="947" spans="11:11" ht="13.2">
      <c r="K947" s="1"/>
    </row>
    <row r="948" spans="11:11" ht="13.2">
      <c r="K948" s="1"/>
    </row>
    <row r="949" spans="11:11" ht="13.2">
      <c r="K949" s="1"/>
    </row>
    <row r="950" spans="11:11" ht="13.2">
      <c r="K950" s="1"/>
    </row>
    <row r="951" spans="11:11" ht="13.2">
      <c r="K951" s="1"/>
    </row>
    <row r="952" spans="11:11" ht="13.2">
      <c r="K952" s="1"/>
    </row>
    <row r="953" spans="11:11" ht="13.2">
      <c r="K953" s="1"/>
    </row>
    <row r="954" spans="11:11" ht="13.2">
      <c r="K954" s="1"/>
    </row>
    <row r="955" spans="11:11" ht="13.2">
      <c r="K955" s="1"/>
    </row>
    <row r="956" spans="11:11" ht="13.2">
      <c r="K956" s="1"/>
    </row>
    <row r="957" spans="11:11" ht="13.2">
      <c r="K957" s="1"/>
    </row>
    <row r="958" spans="11:11" ht="13.2">
      <c r="K958" s="1"/>
    </row>
    <row r="959" spans="11:11" ht="13.2">
      <c r="K959" s="1"/>
    </row>
    <row r="960" spans="11:11" ht="13.2">
      <c r="K960" s="1"/>
    </row>
    <row r="961" spans="11:11" ht="13.2">
      <c r="K961" s="1"/>
    </row>
    <row r="962" spans="11:11" ht="13.2">
      <c r="K962" s="1"/>
    </row>
    <row r="963" spans="11:11" ht="13.2">
      <c r="K963" s="1"/>
    </row>
    <row r="964" spans="11:11" ht="13.2">
      <c r="K964" s="1"/>
    </row>
    <row r="965" spans="11:11" ht="13.2">
      <c r="K965" s="1"/>
    </row>
    <row r="966" spans="11:11" ht="13.2">
      <c r="K966" s="1"/>
    </row>
    <row r="967" spans="11:11" ht="13.2">
      <c r="K967" s="1"/>
    </row>
    <row r="968" spans="11:11" ht="13.2">
      <c r="K968" s="1"/>
    </row>
    <row r="969" spans="11:11" ht="13.2">
      <c r="K969" s="1"/>
    </row>
    <row r="970" spans="11:11" ht="13.2">
      <c r="K970" s="1"/>
    </row>
    <row r="971" spans="11:11" ht="13.2">
      <c r="K971" s="1"/>
    </row>
    <row r="972" spans="11:11" ht="13.2">
      <c r="K972" s="1"/>
    </row>
    <row r="973" spans="11:11" ht="13.2">
      <c r="K973" s="1"/>
    </row>
    <row r="974" spans="11:11" ht="13.2">
      <c r="K974" s="1"/>
    </row>
    <row r="975" spans="11:11" ht="13.2">
      <c r="K975" s="1"/>
    </row>
    <row r="976" spans="11:11" ht="13.2">
      <c r="K976" s="1"/>
    </row>
    <row r="977" spans="11:11" ht="13.2">
      <c r="K977" s="1"/>
    </row>
    <row r="978" spans="11:11" ht="13.2">
      <c r="K978" s="1"/>
    </row>
    <row r="979" spans="11:11" ht="13.2">
      <c r="K979" s="1"/>
    </row>
    <row r="980" spans="11:11" ht="13.2">
      <c r="K980" s="1"/>
    </row>
    <row r="981" spans="11:11" ht="13.2">
      <c r="K981" s="1"/>
    </row>
    <row r="982" spans="11:11" ht="13.2">
      <c r="K982" s="1"/>
    </row>
    <row r="983" spans="11:11" ht="13.2">
      <c r="K983" s="1"/>
    </row>
    <row r="984" spans="11:11" ht="13.2">
      <c r="K984" s="1"/>
    </row>
    <row r="985" spans="11:11" ht="13.2">
      <c r="K985" s="1"/>
    </row>
    <row r="986" spans="11:11" ht="13.2">
      <c r="K986" s="1"/>
    </row>
    <row r="987" spans="11:11" ht="13.2">
      <c r="K987" s="1"/>
    </row>
    <row r="988" spans="11:11" ht="13.2">
      <c r="K988" s="1"/>
    </row>
    <row r="989" spans="11:11" ht="13.2">
      <c r="K989" s="1"/>
    </row>
    <row r="990" spans="11:11" ht="13.2">
      <c r="K990" s="1"/>
    </row>
    <row r="991" spans="11:11" ht="13.2">
      <c r="K991" s="1"/>
    </row>
    <row r="992" spans="11:11" ht="13.2">
      <c r="K992" s="1"/>
    </row>
    <row r="993" spans="11:11" ht="13.2">
      <c r="K993" s="1"/>
    </row>
    <row r="994" spans="11:11" ht="13.2">
      <c r="K994" s="1"/>
    </row>
    <row r="995" spans="11:11" ht="13.2">
      <c r="K995" s="1"/>
    </row>
    <row r="996" spans="11:11" ht="13.2">
      <c r="K996" s="1"/>
    </row>
    <row r="997" spans="11:11" ht="13.2">
      <c r="K997" s="1"/>
    </row>
    <row r="998" spans="11:11" ht="13.2">
      <c r="K998" s="1"/>
    </row>
    <row r="999" spans="11:11" ht="13.2">
      <c r="K999" s="1"/>
    </row>
    <row r="1000" spans="11:11" ht="13.2">
      <c r="K1000" s="1"/>
    </row>
    <row r="1001" spans="11:11" ht="13.2">
      <c r="K1001" s="1"/>
    </row>
    <row r="1002" spans="11:11" ht="13.2">
      <c r="K1002" s="1"/>
    </row>
    <row r="1003" spans="11:11" ht="13.2">
      <c r="K1003" s="1"/>
    </row>
    <row r="1004" spans="11:11" ht="13.2">
      <c r="K1004" s="1"/>
    </row>
    <row r="1005" spans="11:11" ht="13.2">
      <c r="K1005" s="1"/>
    </row>
    <row r="1006" spans="11:11" ht="13.2">
      <c r="K1006" s="1"/>
    </row>
    <row r="1007" spans="11:11" ht="13.2">
      <c r="K1007" s="1"/>
    </row>
    <row r="1008" spans="11:11" ht="13.2">
      <c r="K1008" s="1"/>
    </row>
    <row r="1009" spans="11:11" ht="13.2">
      <c r="K1009" s="1"/>
    </row>
    <row r="1010" spans="11:11" ht="13.2">
      <c r="K1010" s="1"/>
    </row>
    <row r="1011" spans="11:11" ht="13.2">
      <c r="K1011" s="1"/>
    </row>
    <row r="1012" spans="11:11" ht="13.2">
      <c r="K1012" s="1"/>
    </row>
    <row r="1013" spans="11:11" ht="13.2">
      <c r="K1013" s="1"/>
    </row>
    <row r="1014" spans="11:11" ht="13.2">
      <c r="K1014" s="1"/>
    </row>
    <row r="1015" spans="11:11" ht="13.2">
      <c r="K1015" s="1"/>
    </row>
    <row r="1016" spans="11:11" ht="13.2">
      <c r="K1016" s="1"/>
    </row>
    <row r="1017" spans="11:11" ht="13.2">
      <c r="K1017" s="1"/>
    </row>
    <row r="1018" spans="11:11" ht="13.2">
      <c r="K1018" s="1"/>
    </row>
    <row r="1019" spans="11:11" ht="13.2">
      <c r="K1019" s="1"/>
    </row>
    <row r="1020" spans="11:11" ht="13.2">
      <c r="K1020" s="1"/>
    </row>
    <row r="1021" spans="11:11" ht="13.2">
      <c r="K1021" s="1"/>
    </row>
    <row r="1022" spans="11:11" ht="13.2">
      <c r="K1022" s="1"/>
    </row>
    <row r="1023" spans="11:11" ht="13.2">
      <c r="K1023" s="1"/>
    </row>
    <row r="1024" spans="11:11" ht="13.2">
      <c r="K1024" s="1"/>
    </row>
    <row r="1025" spans="11:11" ht="13.2">
      <c r="K1025" s="1"/>
    </row>
    <row r="1026" spans="11:11" ht="13.2">
      <c r="K1026" s="1"/>
    </row>
    <row r="1027" spans="11:11" ht="13.2">
      <c r="K1027" s="1"/>
    </row>
    <row r="1028" spans="11:11" ht="13.2">
      <c r="K1028" s="1"/>
    </row>
    <row r="1029" spans="11:11" ht="13.2">
      <c r="K1029" s="1"/>
    </row>
    <row r="1030" spans="11:11" ht="13.2">
      <c r="K1030" s="1"/>
    </row>
    <row r="1031" spans="11:11" ht="13.2">
      <c r="K1031" s="1"/>
    </row>
    <row r="1032" spans="11:11" ht="13.2">
      <c r="K1032" s="1"/>
    </row>
    <row r="1033" spans="11:11" ht="13.2">
      <c r="K1033" s="1"/>
    </row>
    <row r="1034" spans="11:11" ht="13.2">
      <c r="K1034" s="1"/>
    </row>
    <row r="1035" spans="11:11" ht="13.2">
      <c r="K10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 Case Model</vt:lpstr>
      <vt:lpstr>DCF</vt:lpstr>
      <vt:lpstr>Simple Model</vt:lpstr>
      <vt:lpstr>Charts </vt:lpstr>
      <vt:lpstr>Bull Model</vt:lpstr>
      <vt:lpstr>Bear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Benjamin Tewey</cp:lastModifiedBy>
  <dcterms:created xsi:type="dcterms:W3CDTF">2023-04-09T00:25:21Z</dcterms:created>
  <dcterms:modified xsi:type="dcterms:W3CDTF">2023-04-09T00:25:21Z</dcterms:modified>
</cp:coreProperties>
</file>